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Ho so Quan ly Ngan sach\Du toan ngan sach\DT 2021\BC trinh UB tinh UTH DT 2020 và DT 2021\Chinh thuc ngay 20-11-2020\"/>
    </mc:Choice>
  </mc:AlternateContent>
  <bookViews>
    <workbookView xWindow="-120" yWindow="-120" windowWidth="19440" windowHeight="15000" activeTab="1"/>
  </bookViews>
  <sheets>
    <sheet name="01" sheetId="2" r:id="rId1"/>
    <sheet name="02" sheetId="1" r:id="rId2"/>
    <sheet name="03" sheetId="7" r:id="rId3"/>
    <sheet name="04" sheetId="10" r:id="rId4"/>
    <sheet name="Sheet1" sheetId="9" state="hidden" r:id="rId5"/>
  </sheets>
  <externalReferences>
    <externalReference r:id="rId6"/>
  </externalReferences>
  <definedNames>
    <definedName name="_xlnm.Print_Area" localSheetId="0">'01'!$A$1:$P$54</definedName>
    <definedName name="_xlnm.Print_Area" localSheetId="1">'02'!$A$1:$I$34</definedName>
    <definedName name="_xlnm.Print_Area" localSheetId="2">'03'!$A$1:$H$43</definedName>
    <definedName name="_xlnm.Print_Area" localSheetId="3">'04'!$A$1:$H$89</definedName>
    <definedName name="_xlnm.Print_Titles" localSheetId="0">'01'!$5:$7</definedName>
    <definedName name="_xlnm.Print_Titles" localSheetId="1">'02'!$4:$6</definedName>
    <definedName name="_xlnm.Print_Titles" localSheetId="2">'03'!$5:$7</definedName>
    <definedName name="_xlnm.Print_Titles" localSheetId="3">'04'!$5:$6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7" l="1"/>
  <c r="G11" i="7"/>
  <c r="N14" i="7"/>
  <c r="G10" i="7"/>
  <c r="N15" i="7" s="1"/>
  <c r="H10" i="7"/>
  <c r="N16" i="7" s="1"/>
  <c r="F10" i="7"/>
  <c r="F13" i="7"/>
  <c r="F12" i="7" s="1"/>
  <c r="H24" i="2"/>
  <c r="G37" i="1"/>
  <c r="D46" i="2" l="1"/>
  <c r="E33" i="7"/>
  <c r="H28" i="2"/>
  <c r="H25" i="2"/>
  <c r="D16" i="2"/>
  <c r="F53" i="10" l="1"/>
  <c r="F16" i="7" l="1"/>
  <c r="H48" i="2"/>
  <c r="H44" i="2"/>
  <c r="H43" i="2" s="1"/>
  <c r="H40" i="2"/>
  <c r="H32" i="2"/>
  <c r="H31" i="2" s="1"/>
  <c r="H26" i="2"/>
  <c r="H23" i="2" s="1"/>
  <c r="H21" i="2" s="1"/>
  <c r="H22" i="2" s="1"/>
  <c r="H39" i="2" l="1"/>
  <c r="H20" i="2" s="1"/>
  <c r="J20" i="1" l="1"/>
  <c r="H35" i="7" l="1"/>
  <c r="G35" i="7"/>
  <c r="F35" i="7"/>
  <c r="E35" i="7"/>
  <c r="D35" i="7"/>
  <c r="C35" i="7"/>
  <c r="H31" i="7"/>
  <c r="G31" i="7"/>
  <c r="G30" i="7" s="1"/>
  <c r="F31" i="7"/>
  <c r="E31" i="7"/>
  <c r="D31" i="7"/>
  <c r="C31" i="7"/>
  <c r="C30" i="7" s="1"/>
  <c r="H27" i="7"/>
  <c r="G27" i="7"/>
  <c r="F27" i="7"/>
  <c r="E27" i="7"/>
  <c r="D27" i="7"/>
  <c r="C27" i="7"/>
  <c r="H19" i="7"/>
  <c r="G19" i="7"/>
  <c r="F19" i="7"/>
  <c r="F9" i="7" s="1"/>
  <c r="E19" i="7"/>
  <c r="D19" i="7"/>
  <c r="C19" i="7"/>
  <c r="H16" i="7"/>
  <c r="G16" i="7"/>
  <c r="E16" i="7"/>
  <c r="D16" i="7"/>
  <c r="J16" i="7" s="1"/>
  <c r="E13" i="7"/>
  <c r="E12" i="7" s="1"/>
  <c r="D13" i="7"/>
  <c r="C13" i="7"/>
  <c r="H12" i="7"/>
  <c r="G12" i="7"/>
  <c r="D12" i="7"/>
  <c r="C12" i="7"/>
  <c r="H9" i="7"/>
  <c r="E11" i="7"/>
  <c r="D11" i="7"/>
  <c r="D10" i="7" s="1"/>
  <c r="C11" i="7"/>
  <c r="P53" i="2"/>
  <c r="O53" i="2"/>
  <c r="N53" i="2"/>
  <c r="K53" i="2"/>
  <c r="G53" i="2"/>
  <c r="F53" i="2"/>
  <c r="E53" i="2"/>
  <c r="G52" i="2"/>
  <c r="P51" i="2"/>
  <c r="O51" i="2"/>
  <c r="N51" i="2"/>
  <c r="G51" i="2"/>
  <c r="E51" i="2"/>
  <c r="P50" i="2"/>
  <c r="O50" i="2"/>
  <c r="N50" i="2"/>
  <c r="M50" i="2"/>
  <c r="L50" i="2"/>
  <c r="K50" i="2"/>
  <c r="G50" i="2"/>
  <c r="F50" i="2"/>
  <c r="E50" i="2"/>
  <c r="P49" i="2"/>
  <c r="O49" i="2"/>
  <c r="N49" i="2"/>
  <c r="L49" i="2"/>
  <c r="K49" i="2"/>
  <c r="G49" i="2"/>
  <c r="G48" i="2" s="1"/>
  <c r="F49" i="2"/>
  <c r="E49" i="2"/>
  <c r="O48" i="2"/>
  <c r="J48" i="2"/>
  <c r="I48" i="2"/>
  <c r="F48" i="2"/>
  <c r="E48" i="2"/>
  <c r="D48" i="2"/>
  <c r="C48" i="2"/>
  <c r="K48" i="2" s="1"/>
  <c r="P47" i="2"/>
  <c r="O47" i="2"/>
  <c r="N47" i="2"/>
  <c r="M47" i="2"/>
  <c r="K47" i="2"/>
  <c r="G47" i="2"/>
  <c r="F47" i="2"/>
  <c r="E47" i="2"/>
  <c r="P46" i="2"/>
  <c r="O46" i="2"/>
  <c r="N46" i="2"/>
  <c r="M46" i="2"/>
  <c r="L46" i="2"/>
  <c r="K46" i="2"/>
  <c r="G46" i="2"/>
  <c r="G44" i="2" s="1"/>
  <c r="F46" i="2"/>
  <c r="E46" i="2"/>
  <c r="P45" i="2"/>
  <c r="O45" i="2"/>
  <c r="N45" i="2"/>
  <c r="M45" i="2"/>
  <c r="L45" i="2"/>
  <c r="K45" i="2"/>
  <c r="G45" i="2"/>
  <c r="F45" i="2"/>
  <c r="E45" i="2"/>
  <c r="J44" i="2"/>
  <c r="P44" i="2" s="1"/>
  <c r="I44" i="2"/>
  <c r="O44" i="2" s="1"/>
  <c r="D44" i="2"/>
  <c r="C44" i="2"/>
  <c r="C43" i="2" s="1"/>
  <c r="C39" i="2" s="1"/>
  <c r="I43" i="2"/>
  <c r="P42" i="2"/>
  <c r="O42" i="2"/>
  <c r="N42" i="2"/>
  <c r="M42" i="2"/>
  <c r="K42" i="2"/>
  <c r="G42" i="2"/>
  <c r="F42" i="2"/>
  <c r="E42" i="2"/>
  <c r="P41" i="2"/>
  <c r="O41" i="2"/>
  <c r="N41" i="2"/>
  <c r="M41" i="2"/>
  <c r="K41" i="2"/>
  <c r="G41" i="2"/>
  <c r="F41" i="2"/>
  <c r="E41" i="2"/>
  <c r="N40" i="2"/>
  <c r="J40" i="2"/>
  <c r="I40" i="2"/>
  <c r="G40" i="2"/>
  <c r="E40" i="2"/>
  <c r="D40" i="2"/>
  <c r="F40" i="2" s="1"/>
  <c r="C40" i="2"/>
  <c r="K40" i="2" s="1"/>
  <c r="P38" i="2"/>
  <c r="O38" i="2"/>
  <c r="N38" i="2"/>
  <c r="L38" i="2"/>
  <c r="K38" i="2"/>
  <c r="G38" i="2"/>
  <c r="E38" i="2"/>
  <c r="P37" i="2"/>
  <c r="O37" i="2"/>
  <c r="N37" i="2"/>
  <c r="L37" i="2"/>
  <c r="K37" i="2"/>
  <c r="G37" i="2"/>
  <c r="F37" i="2"/>
  <c r="E37" i="2"/>
  <c r="P36" i="2"/>
  <c r="O36" i="2"/>
  <c r="N36" i="2"/>
  <c r="M36" i="2"/>
  <c r="L36" i="2"/>
  <c r="K36" i="2"/>
  <c r="G36" i="2"/>
  <c r="F36" i="2"/>
  <c r="E36" i="2"/>
  <c r="P35" i="2"/>
  <c r="O35" i="2"/>
  <c r="N35" i="2"/>
  <c r="G35" i="2"/>
  <c r="E35" i="2"/>
  <c r="P34" i="2"/>
  <c r="O34" i="2"/>
  <c r="N34" i="2"/>
  <c r="M34" i="2"/>
  <c r="L34" i="2"/>
  <c r="K34" i="2"/>
  <c r="G34" i="2"/>
  <c r="F34" i="2"/>
  <c r="E34" i="2"/>
  <c r="P33" i="2"/>
  <c r="O33" i="2"/>
  <c r="N33" i="2"/>
  <c r="M33" i="2"/>
  <c r="L33" i="2"/>
  <c r="K33" i="2"/>
  <c r="G33" i="2"/>
  <c r="F33" i="2"/>
  <c r="E33" i="2"/>
  <c r="J32" i="2"/>
  <c r="J31" i="2" s="1"/>
  <c r="I32" i="2"/>
  <c r="I31" i="2" s="1"/>
  <c r="E32" i="2"/>
  <c r="D31" i="2"/>
  <c r="C31" i="2"/>
  <c r="P30" i="2"/>
  <c r="O30" i="2"/>
  <c r="M30" i="2"/>
  <c r="L30" i="2"/>
  <c r="G30" i="2"/>
  <c r="D30" i="2"/>
  <c r="E30" i="2" s="1"/>
  <c r="C30" i="2"/>
  <c r="K30" i="2" s="1"/>
  <c r="P29" i="2"/>
  <c r="O29" i="2"/>
  <c r="G29" i="2"/>
  <c r="E29" i="2"/>
  <c r="D29" i="2"/>
  <c r="F29" i="2" s="1"/>
  <c r="C29" i="2"/>
  <c r="K29" i="2" s="1"/>
  <c r="O28" i="2"/>
  <c r="J28" i="2"/>
  <c r="P28" i="2" s="1"/>
  <c r="I28" i="2"/>
  <c r="M28" i="2" s="1"/>
  <c r="D28" i="2"/>
  <c r="D22" i="2" s="1"/>
  <c r="P27" i="2"/>
  <c r="O27" i="2"/>
  <c r="N27" i="2"/>
  <c r="M27" i="2"/>
  <c r="L27" i="2"/>
  <c r="G27" i="2"/>
  <c r="F27" i="2"/>
  <c r="C27" i="2"/>
  <c r="E27" i="2" s="1"/>
  <c r="P26" i="2"/>
  <c r="O26" i="2"/>
  <c r="M26" i="2"/>
  <c r="L26" i="2"/>
  <c r="K26" i="2"/>
  <c r="G26" i="2"/>
  <c r="D26" i="2"/>
  <c r="C26" i="2"/>
  <c r="N26" i="2" s="1"/>
  <c r="O25" i="2"/>
  <c r="J25" i="2"/>
  <c r="J23" i="2" s="1"/>
  <c r="J21" i="2" s="1"/>
  <c r="I25" i="2"/>
  <c r="L25" i="2"/>
  <c r="C25" i="2"/>
  <c r="K25" i="2" s="1"/>
  <c r="P24" i="2"/>
  <c r="J24" i="2"/>
  <c r="I24" i="2"/>
  <c r="D24" i="2"/>
  <c r="C24" i="2"/>
  <c r="C23" i="2" s="1"/>
  <c r="P19" i="2"/>
  <c r="O19" i="2"/>
  <c r="N19" i="2"/>
  <c r="M19" i="2"/>
  <c r="L19" i="2"/>
  <c r="K19" i="2"/>
  <c r="G19" i="2"/>
  <c r="F19" i="2"/>
  <c r="E19" i="2"/>
  <c r="P18" i="2"/>
  <c r="O18" i="2"/>
  <c r="N18" i="2"/>
  <c r="G18" i="2"/>
  <c r="E18" i="2"/>
  <c r="P17" i="2"/>
  <c r="O17" i="2"/>
  <c r="N17" i="2"/>
  <c r="G17" i="2"/>
  <c r="E17" i="2"/>
  <c r="P16" i="2"/>
  <c r="O16" i="2"/>
  <c r="N16" i="2"/>
  <c r="G16" i="2"/>
  <c r="E16" i="2"/>
  <c r="P15" i="2"/>
  <c r="O15" i="2"/>
  <c r="N15" i="2"/>
  <c r="M15" i="2"/>
  <c r="L15" i="2"/>
  <c r="K15" i="2"/>
  <c r="G15" i="2"/>
  <c r="F15" i="2"/>
  <c r="E15" i="2"/>
  <c r="J14" i="2"/>
  <c r="P14" i="2" s="1"/>
  <c r="I14" i="2"/>
  <c r="O14" i="2" s="1"/>
  <c r="H14" i="2"/>
  <c r="N14" i="2" s="1"/>
  <c r="D14" i="2"/>
  <c r="C14" i="2"/>
  <c r="P13" i="2"/>
  <c r="O13" i="2"/>
  <c r="N13" i="2"/>
  <c r="M13" i="2"/>
  <c r="L13" i="2"/>
  <c r="K13" i="2"/>
  <c r="G13" i="2"/>
  <c r="F13" i="2"/>
  <c r="E13" i="2"/>
  <c r="N12" i="2"/>
  <c r="J12" i="2"/>
  <c r="I12" i="2"/>
  <c r="O12" i="2" s="1"/>
  <c r="H12" i="2"/>
  <c r="D12" i="2"/>
  <c r="F12" i="2" s="1"/>
  <c r="C12" i="2"/>
  <c r="C11" i="2" s="1"/>
  <c r="H11" i="2"/>
  <c r="P10" i="2"/>
  <c r="O10" i="2"/>
  <c r="N10" i="2"/>
  <c r="M10" i="2"/>
  <c r="L10" i="2"/>
  <c r="K10" i="2"/>
  <c r="G10" i="2"/>
  <c r="G8" i="2" s="1"/>
  <c r="F10" i="2"/>
  <c r="E10" i="2"/>
  <c r="P9" i="2"/>
  <c r="O9" i="2"/>
  <c r="N9" i="2"/>
  <c r="M9" i="2"/>
  <c r="L9" i="2"/>
  <c r="K9" i="2"/>
  <c r="G9" i="2"/>
  <c r="F9" i="2"/>
  <c r="E9" i="2"/>
  <c r="P8" i="2"/>
  <c r="J8" i="2"/>
  <c r="I8" i="2"/>
  <c r="H8" i="2"/>
  <c r="D8" i="2"/>
  <c r="C8" i="2"/>
  <c r="D9" i="7" l="1"/>
  <c r="C10" i="7"/>
  <c r="C9" i="7" s="1"/>
  <c r="D30" i="7"/>
  <c r="H30" i="7"/>
  <c r="G9" i="7"/>
  <c r="G8" i="7" s="1"/>
  <c r="E10" i="7"/>
  <c r="E9" i="7" s="1"/>
  <c r="E8" i="7" s="1"/>
  <c r="D26" i="7"/>
  <c r="E30" i="7"/>
  <c r="E26" i="7" s="1"/>
  <c r="D11" i="2"/>
  <c r="H26" i="7"/>
  <c r="H8" i="7" s="1"/>
  <c r="D8" i="7"/>
  <c r="I11" i="2"/>
  <c r="L12" i="2"/>
  <c r="G14" i="2"/>
  <c r="G12" i="2"/>
  <c r="G11" i="2" s="1"/>
  <c r="N25" i="2"/>
  <c r="G28" i="2"/>
  <c r="G32" i="2"/>
  <c r="G31" i="2" s="1"/>
  <c r="P40" i="2"/>
  <c r="F44" i="2"/>
  <c r="E44" i="2"/>
  <c r="E43" i="2" s="1"/>
  <c r="E39" i="2" s="1"/>
  <c r="N48" i="2"/>
  <c r="N44" i="2"/>
  <c r="E12" i="2"/>
  <c r="K14" i="2"/>
  <c r="M14" i="2"/>
  <c r="C28" i="2"/>
  <c r="C22" i="2" s="1"/>
  <c r="F30" i="2"/>
  <c r="M44" i="2"/>
  <c r="M48" i="2"/>
  <c r="C26" i="7"/>
  <c r="C8" i="7" s="1"/>
  <c r="G26" i="7"/>
  <c r="F30" i="7"/>
  <c r="F26" i="7" s="1"/>
  <c r="F8" i="7" s="1"/>
  <c r="J10" i="7"/>
  <c r="N10" i="7"/>
  <c r="I10" i="7"/>
  <c r="I16" i="7"/>
  <c r="K8" i="2"/>
  <c r="N8" i="2"/>
  <c r="K11" i="2"/>
  <c r="N11" i="2"/>
  <c r="J22" i="2"/>
  <c r="K24" i="2"/>
  <c r="G24" i="2"/>
  <c r="N24" i="2"/>
  <c r="C21" i="2"/>
  <c r="C20" i="2" s="1"/>
  <c r="C4" i="2" s="1"/>
  <c r="M31" i="2"/>
  <c r="P31" i="2"/>
  <c r="O8" i="2"/>
  <c r="M12" i="2"/>
  <c r="P12" i="2"/>
  <c r="J11" i="2"/>
  <c r="O24" i="2"/>
  <c r="F26" i="2"/>
  <c r="D25" i="2"/>
  <c r="D23" i="2" s="1"/>
  <c r="E26" i="2"/>
  <c r="L11" i="2"/>
  <c r="F14" i="2"/>
  <c r="O11" i="2"/>
  <c r="M25" i="2"/>
  <c r="G25" i="2"/>
  <c r="P25" i="2"/>
  <c r="L43" i="2"/>
  <c r="F8" i="2"/>
  <c r="E8" i="2"/>
  <c r="L8" i="2"/>
  <c r="E11" i="2"/>
  <c r="F11" i="2"/>
  <c r="E24" i="2"/>
  <c r="F24" i="2"/>
  <c r="L24" i="2"/>
  <c r="N28" i="2"/>
  <c r="F31" i="2"/>
  <c r="L31" i="2"/>
  <c r="O31" i="2"/>
  <c r="M40" i="2"/>
  <c r="K44" i="2"/>
  <c r="K12" i="2"/>
  <c r="N30" i="2"/>
  <c r="L44" i="2"/>
  <c r="E14" i="2"/>
  <c r="K27" i="2"/>
  <c r="E28" i="2"/>
  <c r="N29" i="2"/>
  <c r="E31" i="2"/>
  <c r="I39" i="2"/>
  <c r="O40" i="2"/>
  <c r="L48" i="2"/>
  <c r="P48" i="2"/>
  <c r="M8" i="2"/>
  <c r="L14" i="2"/>
  <c r="M24" i="2"/>
  <c r="L28" i="2"/>
  <c r="J43" i="2"/>
  <c r="J39" i="2" s="1"/>
  <c r="I23" i="2"/>
  <c r="P23" i="2" s="1"/>
  <c r="D43" i="2"/>
  <c r="O43" i="2"/>
  <c r="J9" i="7" l="1"/>
  <c r="J8" i="7"/>
  <c r="E22" i="2"/>
  <c r="F22" i="2"/>
  <c r="K28" i="2"/>
  <c r="F28" i="2"/>
  <c r="I9" i="7"/>
  <c r="F43" i="2"/>
  <c r="D39" i="2"/>
  <c r="P39" i="2"/>
  <c r="M39" i="2"/>
  <c r="M11" i="2"/>
  <c r="P11" i="2"/>
  <c r="K23" i="2"/>
  <c r="G23" i="2"/>
  <c r="G21" i="2" s="1"/>
  <c r="N23" i="2"/>
  <c r="I21" i="2"/>
  <c r="L23" i="2"/>
  <c r="O23" i="2"/>
  <c r="E25" i="2"/>
  <c r="F25" i="2"/>
  <c r="M23" i="2"/>
  <c r="L39" i="2"/>
  <c r="E23" i="2"/>
  <c r="D21" i="2"/>
  <c r="F23" i="2"/>
  <c r="N43" i="2"/>
  <c r="K43" i="2"/>
  <c r="G43" i="2"/>
  <c r="P43" i="2"/>
  <c r="M43" i="2"/>
  <c r="N31" i="2"/>
  <c r="K31" i="2"/>
  <c r="J20" i="2"/>
  <c r="I8" i="7" l="1"/>
  <c r="N12" i="7"/>
  <c r="F39" i="2"/>
  <c r="D20" i="2"/>
  <c r="N39" i="2"/>
  <c r="K39" i="2"/>
  <c r="G39" i="2"/>
  <c r="G20" i="2" s="1"/>
  <c r="O39" i="2"/>
  <c r="L21" i="2"/>
  <c r="I22" i="2"/>
  <c r="O21" i="2"/>
  <c r="I20" i="2"/>
  <c r="P20" i="2" s="1"/>
  <c r="M21" i="2"/>
  <c r="P21" i="2"/>
  <c r="E21" i="2"/>
  <c r="F21" i="2"/>
  <c r="K21" i="2"/>
  <c r="N21" i="2"/>
  <c r="J4" i="2"/>
  <c r="O20" i="2" l="1"/>
  <c r="I4" i="2"/>
  <c r="L20" i="2"/>
  <c r="K20" i="2"/>
  <c r="N20" i="2"/>
  <c r="H4" i="2"/>
  <c r="D4" i="2"/>
  <c r="E20" i="2"/>
  <c r="F20" i="2"/>
  <c r="M20" i="2"/>
  <c r="O22" i="2"/>
  <c r="L22" i="2"/>
  <c r="M22" i="2"/>
  <c r="P22" i="2"/>
  <c r="K22" i="2"/>
  <c r="G22" i="2"/>
  <c r="N22" i="2"/>
  <c r="H88" i="10" l="1"/>
  <c r="H87" i="10" s="1"/>
  <c r="G88" i="10"/>
  <c r="F88" i="10"/>
  <c r="F87" i="10" s="1"/>
  <c r="E88" i="10"/>
  <c r="E87" i="10" s="1"/>
  <c r="C88" i="10"/>
  <c r="G87" i="10"/>
  <c r="D87" i="10"/>
  <c r="C87" i="10"/>
  <c r="E86" i="10"/>
  <c r="F31" i="10" s="1"/>
  <c r="F86" i="10" s="1"/>
  <c r="G31" i="10" s="1"/>
  <c r="G86" i="10" s="1"/>
  <c r="H31" i="10" s="1"/>
  <c r="H86" i="10" s="1"/>
  <c r="D86" i="10"/>
  <c r="C86" i="10"/>
  <c r="E85" i="10"/>
  <c r="F30" i="10" s="1"/>
  <c r="F85" i="10" s="1"/>
  <c r="G30" i="10" s="1"/>
  <c r="G85" i="10" s="1"/>
  <c r="H30" i="10" s="1"/>
  <c r="H85" i="10" s="1"/>
  <c r="D85" i="10"/>
  <c r="C85" i="10"/>
  <c r="E84" i="10"/>
  <c r="F29" i="10" s="1"/>
  <c r="F84" i="10" s="1"/>
  <c r="G29" i="10" s="1"/>
  <c r="G84" i="10" s="1"/>
  <c r="H29" i="10" s="1"/>
  <c r="H84" i="10" s="1"/>
  <c r="D84" i="10"/>
  <c r="C84" i="10"/>
  <c r="E83" i="10"/>
  <c r="D83" i="10"/>
  <c r="C83" i="10"/>
  <c r="E82" i="10"/>
  <c r="F27" i="10" s="1"/>
  <c r="C82" i="10"/>
  <c r="E81" i="10"/>
  <c r="C81" i="10"/>
  <c r="E80" i="10"/>
  <c r="F25" i="10" s="1"/>
  <c r="F80" i="10" s="1"/>
  <c r="G25" i="10" s="1"/>
  <c r="G80" i="10" s="1"/>
  <c r="H25" i="10" s="1"/>
  <c r="H80" i="10" s="1"/>
  <c r="C80" i="10"/>
  <c r="D79" i="10"/>
  <c r="C79" i="10"/>
  <c r="E24" i="10" s="1"/>
  <c r="D78" i="10"/>
  <c r="C78" i="10"/>
  <c r="C77" i="10" s="1"/>
  <c r="C76" i="10" s="1"/>
  <c r="C73" i="10" s="1"/>
  <c r="C74" i="10" s="1"/>
  <c r="D77" i="10"/>
  <c r="H71" i="10"/>
  <c r="G71" i="10"/>
  <c r="F71" i="10"/>
  <c r="F61" i="10" s="1"/>
  <c r="F59" i="10" s="1"/>
  <c r="E71" i="10"/>
  <c r="E61" i="10" s="1"/>
  <c r="D71" i="10"/>
  <c r="C71" i="10"/>
  <c r="D66" i="10"/>
  <c r="D82" i="10" s="1"/>
  <c r="D65" i="10"/>
  <c r="D81" i="10" s="1"/>
  <c r="D64" i="10"/>
  <c r="D80" i="10" s="1"/>
  <c r="H63" i="10"/>
  <c r="H61" i="10" s="1"/>
  <c r="H59" i="10" s="1"/>
  <c r="G63" i="10"/>
  <c r="F63" i="10"/>
  <c r="E63" i="10"/>
  <c r="C63" i="10"/>
  <c r="H60" i="10"/>
  <c r="G60" i="10"/>
  <c r="F60" i="10"/>
  <c r="E60" i="10"/>
  <c r="C58" i="10"/>
  <c r="C57" i="10"/>
  <c r="E56" i="10"/>
  <c r="E54" i="10"/>
  <c r="H50" i="10"/>
  <c r="G50" i="10"/>
  <c r="F50" i="10"/>
  <c r="D50" i="10"/>
  <c r="C50" i="10"/>
  <c r="H48" i="10"/>
  <c r="G48" i="10"/>
  <c r="F48" i="10"/>
  <c r="E48" i="10"/>
  <c r="D48" i="10"/>
  <c r="C48" i="10"/>
  <c r="H43" i="10"/>
  <c r="G43" i="10"/>
  <c r="F43" i="10"/>
  <c r="H42" i="10"/>
  <c r="G42" i="10"/>
  <c r="F42" i="10"/>
  <c r="E40" i="10"/>
  <c r="H38" i="10"/>
  <c r="G38" i="10"/>
  <c r="G37" i="10" s="1"/>
  <c r="F38" i="10"/>
  <c r="E38" i="10"/>
  <c r="E37" i="10" s="1"/>
  <c r="E35" i="10" s="1"/>
  <c r="E34" i="10" s="1"/>
  <c r="D38" i="10"/>
  <c r="D37" i="10" s="1"/>
  <c r="D35" i="10" s="1"/>
  <c r="D34" i="10" s="1"/>
  <c r="C38" i="10"/>
  <c r="C37" i="10" s="1"/>
  <c r="H32" i="10"/>
  <c r="G32" i="10"/>
  <c r="F32" i="10"/>
  <c r="E32" i="10"/>
  <c r="D32" i="10"/>
  <c r="C32" i="10"/>
  <c r="F28" i="10"/>
  <c r="F83" i="10" s="1"/>
  <c r="G28" i="10" s="1"/>
  <c r="G83" i="10" s="1"/>
  <c r="H28" i="10" s="1"/>
  <c r="H83" i="10" s="1"/>
  <c r="F26" i="10"/>
  <c r="F81" i="10" s="1"/>
  <c r="G26" i="10" s="1"/>
  <c r="G81" i="10" s="1"/>
  <c r="H26" i="10" s="1"/>
  <c r="H81" i="10" s="1"/>
  <c r="D22" i="10"/>
  <c r="D21" i="10" s="1"/>
  <c r="D18" i="10" s="1"/>
  <c r="D19" i="10" s="1"/>
  <c r="C22" i="10"/>
  <c r="C21" i="10" s="1"/>
  <c r="H15" i="10"/>
  <c r="G15" i="10"/>
  <c r="F15" i="10"/>
  <c r="E15" i="10"/>
  <c r="D15" i="10"/>
  <c r="C15" i="10"/>
  <c r="E10" i="10"/>
  <c r="H7" i="10"/>
  <c r="K10" i="10" s="1"/>
  <c r="G7" i="10"/>
  <c r="J10" i="10" s="1"/>
  <c r="F7" i="10"/>
  <c r="I10" i="10" s="1"/>
  <c r="E7" i="10"/>
  <c r="E14" i="10" s="1"/>
  <c r="D7" i="10"/>
  <c r="D14" i="10" s="1"/>
  <c r="C7" i="10"/>
  <c r="G61" i="10" l="1"/>
  <c r="G59" i="10" s="1"/>
  <c r="E23" i="10"/>
  <c r="E78" i="10" s="1"/>
  <c r="F23" i="10" s="1"/>
  <c r="F78" i="10" s="1"/>
  <c r="F37" i="10"/>
  <c r="F35" i="10" s="1"/>
  <c r="F34" i="10" s="1"/>
  <c r="I34" i="10" s="1"/>
  <c r="C16" i="10"/>
  <c r="D63" i="10"/>
  <c r="D61" i="10" s="1"/>
  <c r="D59" i="10" s="1"/>
  <c r="D58" i="10" s="1"/>
  <c r="D57" i="10" s="1"/>
  <c r="C61" i="10"/>
  <c r="C18" i="10"/>
  <c r="C19" i="10" s="1"/>
  <c r="C35" i="10"/>
  <c r="C34" i="10" s="1"/>
  <c r="G35" i="10"/>
  <c r="G34" i="10" s="1"/>
  <c r="H37" i="10"/>
  <c r="H35" i="10" s="1"/>
  <c r="H34" i="10" s="1"/>
  <c r="E50" i="10"/>
  <c r="E59" i="10"/>
  <c r="E58" i="10" s="1"/>
  <c r="E57" i="10" s="1"/>
  <c r="F82" i="10"/>
  <c r="G27" i="10" s="1"/>
  <c r="G82" i="10" s="1"/>
  <c r="H27" i="10" s="1"/>
  <c r="H82" i="10" s="1"/>
  <c r="E79" i="10"/>
  <c r="F24" i="10" s="1"/>
  <c r="E22" i="10"/>
  <c r="E21" i="10" s="1"/>
  <c r="E18" i="10" s="1"/>
  <c r="E19" i="10" s="1"/>
  <c r="H14" i="10"/>
  <c r="H58" i="10"/>
  <c r="H57" i="10" s="1"/>
  <c r="G58" i="10"/>
  <c r="G57" i="10" s="1"/>
  <c r="G14" i="10"/>
  <c r="G23" i="10"/>
  <c r="D76" i="10"/>
  <c r="D73" i="10" s="1"/>
  <c r="D74" i="10" s="1"/>
  <c r="F58" i="10"/>
  <c r="F57" i="10" s="1"/>
  <c r="I57" i="10" s="1"/>
  <c r="F14" i="10"/>
  <c r="E77" i="10" l="1"/>
  <c r="E76" i="10" s="1"/>
  <c r="E73" i="10" s="1"/>
  <c r="D16" i="10"/>
  <c r="G78" i="10"/>
  <c r="F22" i="10"/>
  <c r="F21" i="10" s="1"/>
  <c r="F18" i="10" s="1"/>
  <c r="F79" i="10"/>
  <c r="F19" i="10" l="1"/>
  <c r="E74" i="10"/>
  <c r="E16" i="10"/>
  <c r="G24" i="10"/>
  <c r="F77" i="10"/>
  <c r="F76" i="10" s="1"/>
  <c r="F73" i="10" s="1"/>
  <c r="H23" i="10"/>
  <c r="H78" i="10" l="1"/>
  <c r="F74" i="10"/>
  <c r="F16" i="10"/>
  <c r="G79" i="10"/>
  <c r="G22" i="10"/>
  <c r="G21" i="10" s="1"/>
  <c r="G18" i="10" s="1"/>
  <c r="G19" i="10" l="1"/>
  <c r="H24" i="10"/>
  <c r="G77" i="10"/>
  <c r="G76" i="10" s="1"/>
  <c r="G73" i="10" s="1"/>
  <c r="G74" i="10" l="1"/>
  <c r="G16" i="10"/>
  <c r="H79" i="10"/>
  <c r="H77" i="10" s="1"/>
  <c r="H76" i="10" s="1"/>
  <c r="H73" i="10" s="1"/>
  <c r="H22" i="10"/>
  <c r="H21" i="10" s="1"/>
  <c r="H18" i="10" s="1"/>
  <c r="H19" i="10" l="1"/>
  <c r="I18" i="10"/>
  <c r="H74" i="10"/>
  <c r="H16" i="10"/>
  <c r="L31" i="1" l="1"/>
  <c r="K31" i="1"/>
  <c r="J31" i="1"/>
  <c r="J23" i="1"/>
  <c r="K23" i="1" s="1"/>
  <c r="J30" i="1"/>
  <c r="G39" i="9" l="1"/>
  <c r="F39" i="9"/>
  <c r="E39" i="9"/>
  <c r="C39" i="9"/>
  <c r="H36" i="9"/>
  <c r="G36" i="9"/>
  <c r="F36" i="9"/>
  <c r="E36" i="9"/>
  <c r="D36" i="9"/>
  <c r="C36" i="9"/>
  <c r="I35" i="9"/>
  <c r="I34" i="9"/>
  <c r="I33" i="9"/>
  <c r="J30" i="9"/>
  <c r="I30" i="9"/>
  <c r="J29" i="9"/>
  <c r="I29" i="9"/>
  <c r="J28" i="9"/>
  <c r="I28" i="9"/>
  <c r="J27" i="9"/>
  <c r="I27" i="9"/>
  <c r="J26" i="9"/>
  <c r="I26" i="9"/>
  <c r="J25" i="9"/>
  <c r="I25" i="9"/>
  <c r="J24" i="9"/>
  <c r="I24" i="9"/>
  <c r="D23" i="9"/>
  <c r="J22" i="9"/>
  <c r="I22" i="9"/>
  <c r="D22" i="9"/>
  <c r="J21" i="9"/>
  <c r="H21" i="9"/>
  <c r="H39" i="9" s="1"/>
  <c r="D21" i="9"/>
  <c r="D39" i="9" s="1"/>
  <c r="J20" i="9"/>
  <c r="I20" i="9"/>
  <c r="J19" i="9"/>
  <c r="I19" i="9"/>
  <c r="J18" i="9"/>
  <c r="I18" i="9"/>
  <c r="J17" i="9"/>
  <c r="I17" i="9"/>
  <c r="J16" i="9"/>
  <c r="I16" i="9"/>
  <c r="J15" i="9"/>
  <c r="I15" i="9"/>
  <c r="J14" i="9"/>
  <c r="I14" i="9"/>
  <c r="J13" i="9"/>
  <c r="I13" i="9"/>
  <c r="J12" i="9"/>
  <c r="H12" i="9"/>
  <c r="H10" i="9" s="1"/>
  <c r="G12" i="9"/>
  <c r="F12" i="9"/>
  <c r="F10" i="9" s="1"/>
  <c r="E12" i="9"/>
  <c r="D12" i="9"/>
  <c r="I12" i="9" s="1"/>
  <c r="C12" i="9"/>
  <c r="G10" i="9"/>
  <c r="G37" i="9" s="1"/>
  <c r="E10" i="9"/>
  <c r="E9" i="9" s="1"/>
  <c r="C10" i="9"/>
  <c r="C37" i="9" s="1"/>
  <c r="H37" i="9" l="1"/>
  <c r="J10" i="9"/>
  <c r="F37" i="9"/>
  <c r="F9" i="9"/>
  <c r="M9" i="9" s="1"/>
  <c r="G9" i="9"/>
  <c r="C9" i="9"/>
  <c r="D10" i="9"/>
  <c r="D37" i="9" s="1"/>
  <c r="I21" i="9"/>
  <c r="I39" i="9" s="1"/>
  <c r="I36" i="9"/>
  <c r="E11" i="9"/>
  <c r="F11" i="9"/>
  <c r="E37" i="9"/>
  <c r="H9" i="9"/>
  <c r="C11" i="9"/>
  <c r="G11" i="9"/>
  <c r="I10" i="9"/>
  <c r="D11" i="9"/>
  <c r="H11" i="9"/>
  <c r="N9" i="9" l="1"/>
  <c r="D9" i="9"/>
  <c r="J11" i="9"/>
  <c r="J9" i="9"/>
  <c r="O9" i="9"/>
  <c r="I9" i="9"/>
  <c r="K9" i="9"/>
  <c r="I37" i="9"/>
  <c r="I11" i="9"/>
  <c r="L9" i="9"/>
  <c r="E9" i="1" l="1"/>
  <c r="E8" i="1" s="1"/>
  <c r="E7" i="1" s="1"/>
  <c r="H9" i="1" l="1"/>
  <c r="D9" i="1"/>
  <c r="D8" i="1" s="1"/>
  <c r="D7" i="1" l="1"/>
  <c r="F9" i="1"/>
  <c r="F8" i="1" s="1"/>
  <c r="C9" i="1"/>
  <c r="I9" i="1"/>
  <c r="I8" i="1" s="1"/>
  <c r="N9" i="1" s="1"/>
  <c r="M11" i="1" s="1"/>
  <c r="H8" i="1"/>
  <c r="M9" i="1" s="1"/>
  <c r="G9" i="1"/>
  <c r="G8" i="1" s="1"/>
  <c r="L9" i="1" l="1"/>
  <c r="L13" i="1" s="1"/>
  <c r="K8" i="1"/>
  <c r="L8" i="1" s="1"/>
  <c r="H7" i="1"/>
  <c r="G7" i="1"/>
  <c r="J7" i="1" s="1"/>
  <c r="I7" i="1"/>
  <c r="F7" i="1"/>
  <c r="C8" i="1"/>
  <c r="C7" i="1" s="1"/>
  <c r="L11" i="1" l="1"/>
  <c r="K7" i="1"/>
  <c r="L7" i="1"/>
</calcChain>
</file>

<file path=xl/comments1.xml><?xml version="1.0" encoding="utf-8"?>
<comments xmlns="http://schemas.openxmlformats.org/spreadsheetml/2006/main">
  <authors>
    <author>Huỳnh Thị Thanh Nam</author>
    <author>Admin</author>
  </authors>
  <commentList>
    <comment ref="D4" authorId="0" shapeId="0">
      <text>
        <r>
          <rPr>
            <b/>
            <sz val="9"/>
            <color indexed="81"/>
            <rFont val="Tahoma"/>
            <family val="2"/>
          </rPr>
          <t>Huỳnh Thị Thanh Nam:</t>
        </r>
        <r>
          <rPr>
            <sz val="9"/>
            <color indexed="81"/>
            <rFont val="Tahoma"/>
            <family val="2"/>
          </rPr>
          <t xml:space="preserve">
Chi nộp NS cấp trên</t>
        </r>
      </text>
    </comment>
    <comment ref="H14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sdt: 859 tỷ đồng
thuê đất 167: 265,4 tỷ 
xskt: 1.710 tỷ
</t>
        </r>
      </text>
    </comment>
    <comment ref="I14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sdt: 470 tỷ
thue đất 167: 66 tỷ
xskt: 1.720 tỷ đồng
</t>
        </r>
      </text>
    </comment>
    <comment ref="J14" authorId="1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sdt: 500 tỷ
xskt: 1740 tỷ</t>
        </r>
      </text>
    </comment>
  </commentList>
</comments>
</file>

<file path=xl/comments2.xml><?xml version="1.0" encoding="utf-8"?>
<comments xmlns="http://schemas.openxmlformats.org/spreadsheetml/2006/main">
  <authors>
    <author>Tran Thien Thong</author>
  </authors>
  <commentList>
    <comment ref="G28" authorId="0" shapeId="0">
      <text>
        <r>
          <rPr>
            <b/>
            <sz val="9"/>
            <color indexed="81"/>
            <rFont val="Tahoma"/>
            <family val="2"/>
          </rPr>
          <t>Tran Thien Thong:</t>
        </r>
        <r>
          <rPr>
            <sz val="9"/>
            <color indexed="81"/>
            <rFont val="Tahoma"/>
            <family val="2"/>
          </rPr>
          <t xml:space="preserve">
thấp hơn năm 2019, do chuyển một phần TM lên thu khác ngân sách</t>
        </r>
      </text>
    </comment>
    <comment ref="H31" authorId="0" shapeId="0">
      <text>
        <r>
          <rPr>
            <b/>
            <sz val="9"/>
            <color indexed="81"/>
            <rFont val="Tahoma"/>
            <family val="2"/>
          </rPr>
          <t>Tran Thien Thong:</t>
        </r>
        <r>
          <rPr>
            <sz val="9"/>
            <color indexed="81"/>
            <rFont val="Tahoma"/>
            <family val="2"/>
          </rPr>
          <t xml:space="preserve">
SL HQ GUI</t>
        </r>
      </text>
    </comment>
  </commentList>
</comments>
</file>

<file path=xl/comments3.xml><?xml version="1.0" encoding="utf-8"?>
<comments xmlns="http://schemas.openxmlformats.org/spreadsheetml/2006/main">
  <authors>
    <author>huynhthithanhnam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huynhthithanhnam:</t>
        </r>
        <r>
          <rPr>
            <sz val="9"/>
            <color indexed="81"/>
            <rFont val="Tahoma"/>
            <family val="2"/>
          </rPr>
          <t xml:space="preserve">
sl kỳ 13.19 đến ngày 19.10.2020</t>
        </r>
      </text>
    </comment>
  </commentList>
</comments>
</file>

<file path=xl/comments4.xml><?xml version="1.0" encoding="utf-8"?>
<comments xmlns="http://schemas.openxmlformats.org/spreadsheetml/2006/main">
  <authors>
    <author>huynhthithanhnam</author>
    <author>Huỳnh Thị Thanh Nam</author>
    <author>Dam Van Cuong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huynhthithanhnam:</t>
        </r>
        <r>
          <rPr>
            <sz val="9"/>
            <color indexed="81"/>
            <rFont val="Tahoma"/>
            <family val="2"/>
          </rPr>
          <t xml:space="preserve">
Bội thu NSĐP cấp tỉnh được xác định = chênh lệch lớn hơn giữa tổng DT thu NS cấp tỉnh và tổng DT chi NS cấp tỉnh của từng địa phương trong 1 năm NS.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</rPr>
          <t>huynhthithanhnam:</t>
        </r>
        <r>
          <rPr>
            <sz val="9"/>
            <color indexed="81"/>
            <rFont val="Tahoma"/>
            <family val="2"/>
          </rPr>
          <t xml:space="preserve">
Bội chi NSĐP cấp tỉnh là tổng hợp bội chi NS cấp tỉnh của từng địa phương được xác định = chênh lệch lớn hơn giữa tổng chi NS cấp tỉnh và tổng thu NS cấp tỉnh của từng địa phương trong một năm NS.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</rPr>
          <t>huynhthithanhnam:</t>
        </r>
        <r>
          <rPr>
            <sz val="9"/>
            <color indexed="81"/>
            <rFont val="Tahoma"/>
            <family val="2"/>
          </rPr>
          <t xml:space="preserve">
Khoản 6 - Điều 7 Luật NSNN = Tổng thu được hưởng theo phân cấp (100%+điều tiết) &gt; Chi TX --&gt; 30% tổng thu</t>
        </r>
      </text>
    </comment>
    <comment ref="F42" authorId="1" shapeId="0">
      <text>
        <r>
          <rPr>
            <b/>
            <sz val="9"/>
            <color indexed="81"/>
            <rFont val="Tahoma"/>
            <family val="2"/>
          </rPr>
          <t>Huỳnh Thị Thanh Nam:</t>
        </r>
        <r>
          <rPr>
            <sz val="9"/>
            <color indexed="81"/>
            <rFont val="Tahoma"/>
            <family val="2"/>
          </rPr>
          <t xml:space="preserve">
Tỷ giá: 1 USD: 23.256 đồng</t>
        </r>
      </text>
    </comment>
    <comment ref="G42" authorId="1" shapeId="0">
      <text>
        <r>
          <rPr>
            <b/>
            <sz val="9"/>
            <color indexed="81"/>
            <rFont val="Tahoma"/>
            <family val="2"/>
          </rPr>
          <t>Huỳnh Thị Thanh Nam:</t>
        </r>
        <r>
          <rPr>
            <sz val="9"/>
            <color indexed="81"/>
            <rFont val="Tahoma"/>
            <family val="2"/>
          </rPr>
          <t xml:space="preserve">
Tỷ giá: 1 USD: 23.256 đồng</t>
        </r>
      </text>
    </comment>
    <comment ref="H42" authorId="1" shapeId="0">
      <text>
        <r>
          <rPr>
            <b/>
            <sz val="9"/>
            <color indexed="81"/>
            <rFont val="Tahoma"/>
            <family val="2"/>
          </rPr>
          <t>Huỳnh Thị Thanh Nam:</t>
        </r>
        <r>
          <rPr>
            <sz val="9"/>
            <color indexed="81"/>
            <rFont val="Tahoma"/>
            <family val="2"/>
          </rPr>
          <t xml:space="preserve">
Tỷ giá: 1 USD: 23.256 đồng</t>
        </r>
      </text>
    </comment>
    <comment ref="F43" authorId="1" shapeId="0">
      <text>
        <r>
          <rPr>
            <b/>
            <sz val="9"/>
            <color indexed="81"/>
            <rFont val="Tahoma"/>
            <family val="2"/>
          </rPr>
          <t>Huỳnh Thị Thanh Nam:</t>
        </r>
        <r>
          <rPr>
            <sz val="9"/>
            <color indexed="81"/>
            <rFont val="Tahoma"/>
            <family val="2"/>
          </rPr>
          <t xml:space="preserve">
Tỷ giá: 1 USD: 23.256 đồng</t>
        </r>
      </text>
    </comment>
    <comment ref="G43" authorId="1" shapeId="0">
      <text>
        <r>
          <rPr>
            <b/>
            <sz val="9"/>
            <color indexed="81"/>
            <rFont val="Tahoma"/>
            <family val="2"/>
          </rPr>
          <t>Huỳnh Thị Thanh Nam:</t>
        </r>
        <r>
          <rPr>
            <sz val="9"/>
            <color indexed="81"/>
            <rFont val="Tahoma"/>
            <family val="2"/>
          </rPr>
          <t xml:space="preserve">
Tỷ giá: 1 USD: 23.256 đồng</t>
        </r>
      </text>
    </comment>
    <comment ref="H43" authorId="1" shapeId="0">
      <text>
        <r>
          <rPr>
            <b/>
            <sz val="9"/>
            <color indexed="81"/>
            <rFont val="Tahoma"/>
            <family val="2"/>
          </rPr>
          <t>Huỳnh Thị Thanh Nam:</t>
        </r>
        <r>
          <rPr>
            <sz val="9"/>
            <color indexed="81"/>
            <rFont val="Tahoma"/>
            <family val="2"/>
          </rPr>
          <t xml:space="preserve">
Tỷ giá: 1 USD: 23.256 đồng</t>
        </r>
      </text>
    </comment>
    <comment ref="D65" authorId="2" shapeId="0">
      <text>
        <r>
          <rPr>
            <b/>
            <sz val="9"/>
            <color indexed="81"/>
            <rFont val="Tahoma"/>
            <family val="2"/>
          </rPr>
          <t>Dam Van Cuong:</t>
        </r>
        <r>
          <rPr>
            <sz val="9"/>
            <color indexed="81"/>
            <rFont val="Tahoma"/>
            <family val="2"/>
          </rPr>
          <t xml:space="preserve">
Làm tròn lên 19 tr để bằng DT BTC giao</t>
        </r>
      </text>
    </comment>
  </commentList>
</comments>
</file>

<file path=xl/comments5.xml><?xml version="1.0" encoding="utf-8"?>
<comments xmlns="http://schemas.openxmlformats.org/spreadsheetml/2006/main">
  <authors>
    <author>Admin</author>
  </authors>
  <commentList>
    <comment ref="D23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trong đó: tỉnh 142 tỷ đồng
</t>
        </r>
      </text>
    </comment>
  </commentList>
</comments>
</file>

<file path=xl/sharedStrings.xml><?xml version="1.0" encoding="utf-8"?>
<sst xmlns="http://schemas.openxmlformats.org/spreadsheetml/2006/main" count="394" uniqueCount="235">
  <si>
    <t>NỘI DUNG</t>
  </si>
  <si>
    <t>Dự kiến kế hoạch 03 năm</t>
  </si>
  <si>
    <t>Dự toán
TW</t>
  </si>
  <si>
    <t>Dự toán
ĐP</t>
  </si>
  <si>
    <t xml:space="preserve">ƯTH 
cả năm </t>
  </si>
  <si>
    <t>Năm 2020</t>
  </si>
  <si>
    <t>Năm 2021</t>
  </si>
  <si>
    <t>Năm 2022</t>
  </si>
  <si>
    <t>TỔNG THU NSNN (I +…+IV)</t>
  </si>
  <si>
    <t>I</t>
  </si>
  <si>
    <t>THU NỘI ĐỊA</t>
  </si>
  <si>
    <t>Thu từ Doanh nghiệp nhà nước</t>
  </si>
  <si>
    <t>1.1</t>
  </si>
  <si>
    <t>1.2</t>
  </si>
  <si>
    <t>Lệ phí trước bạ</t>
  </si>
  <si>
    <t>Thuế sử dụng đất phi nông nghiệp</t>
  </si>
  <si>
    <t>Thuế sử dụng đất nông nghiệp</t>
  </si>
  <si>
    <t>Thuế thu nhập cá nhân</t>
  </si>
  <si>
    <t>Thu phí và lệ phí</t>
  </si>
  <si>
    <t>Tiền sử dụng đất</t>
  </si>
  <si>
    <t>Thu từ hoạt động xổ số kiến thiết</t>
  </si>
  <si>
    <t>II</t>
  </si>
  <si>
    <t>III</t>
  </si>
  <si>
    <t>Thu viện trợ</t>
  </si>
  <si>
    <t>IV</t>
  </si>
  <si>
    <t>Thu đóng góp</t>
  </si>
  <si>
    <t>STT</t>
  </si>
  <si>
    <t>Nội dung</t>
  </si>
  <si>
    <t>So sánh</t>
  </si>
  <si>
    <t>Bao gồm:</t>
  </si>
  <si>
    <t>So sánh (%)</t>
  </si>
  <si>
    <t>So sánh (tuyệt đối)</t>
  </si>
  <si>
    <t>Tuyệt
 đối</t>
  </si>
  <si>
    <t>Tương
 đối</t>
  </si>
  <si>
    <t>Dự toán
năm 2020</t>
  </si>
  <si>
    <t>Dự toán  năm 2022</t>
  </si>
  <si>
    <t>DT2022
với
DT2021</t>
  </si>
  <si>
    <t>A</t>
  </si>
  <si>
    <t>B</t>
  </si>
  <si>
    <t>9=6/1</t>
  </si>
  <si>
    <t>10=7/6</t>
  </si>
  <si>
    <t>11=8/7</t>
  </si>
  <si>
    <t>12=6-1</t>
  </si>
  <si>
    <t>13=7-6</t>
  </si>
  <si>
    <t>14=8-7</t>
  </si>
  <si>
    <t>Chi thường xuyên</t>
  </si>
  <si>
    <t>a</t>
  </si>
  <si>
    <t>b</t>
  </si>
  <si>
    <t>Chi TX còn lại</t>
  </si>
  <si>
    <t xml:space="preserve">Chi Ủy thác qua Ngân hàng Chính sách xã hội </t>
  </si>
  <si>
    <t>Chi các chương trình mục tiêu, nhiệm vụ</t>
  </si>
  <si>
    <t>2.1</t>
  </si>
  <si>
    <t>Vốn ngoài nước</t>
  </si>
  <si>
    <t>Vốn trong nước</t>
  </si>
  <si>
    <t>Vốn trái phiếu chính phủ</t>
  </si>
  <si>
    <t>2.2</t>
  </si>
  <si>
    <t>C</t>
  </si>
  <si>
    <t>BỘI CHI NSĐP/BỘI THU NSĐP</t>
  </si>
  <si>
    <t>Bội thu</t>
  </si>
  <si>
    <t>Bội chi</t>
  </si>
  <si>
    <t>D</t>
  </si>
  <si>
    <t>E</t>
  </si>
  <si>
    <t>Chi ĐTPT</t>
  </si>
  <si>
    <t>S
TT</t>
  </si>
  <si>
    <t>THU NSĐP</t>
  </si>
  <si>
    <t>Thu NSĐP được hưởng theo phân cấp</t>
  </si>
  <si>
    <t>Thu bổ sung cân đối từ NSTW</t>
  </si>
  <si>
    <t>CHI CÂN ĐỐI NSĐP</t>
  </si>
  <si>
    <t>HẠN MỨC DƯ NỢ VAY TỐI ĐA CỦA NSĐP SAU KHI TRỪ SỐ DƯ NỢ VAY CUỐI NĂM (D-F.IV)</t>
  </si>
  <si>
    <t>F</t>
  </si>
  <si>
    <t>KẾ HOẠCH VAY, TRẢ NỢ GỐC</t>
  </si>
  <si>
    <t>Tổng dư nợ đầu năm</t>
  </si>
  <si>
    <t>Tỷ lệ mức dư nợ đầu kỳ so với mức dư nợ vay tối đa của ngân sách địa phương (%)</t>
  </si>
  <si>
    <t>Trái phiếu chính quyền địa phương</t>
  </si>
  <si>
    <t>Vay lại từ nguồn Chính phủ vay ngoài nước</t>
  </si>
  <si>
    <t>Vay AFD để thực hiện DA Phát triển Mía đường tỉnh Tây Ninh</t>
  </si>
  <si>
    <t xml:space="preserve"> - Hợp phần giao thông</t>
  </si>
  <si>
    <t xml:space="preserve"> - Hợp phần thủy lợi</t>
  </si>
  <si>
    <t>Vay lại vốn vay ODA của Cộng hòa Italia để thực hiện DA Hệ thống thu gom và xử lý nước thải thành phố Tây Ninh - giai đoạn 1</t>
  </si>
  <si>
    <t>2.3</t>
  </si>
  <si>
    <t>Vay lại vốn vay ODA của Ngân hàng Thế giới (WB) để thực hiện Dự án: Tăng cường quản lý đất đai và cơ sở dữ liệu đất đai (VILG) trên địa bàn tỉnh Tây Ninh</t>
  </si>
  <si>
    <t>Vay trong nước khác</t>
  </si>
  <si>
    <t>Vốn vay ưu đãi Bộ Tài chính (Vốn vay tín dụng Nhà nước để thực hiện Chương trình KCHKM, GTNT,…)</t>
  </si>
  <si>
    <t>Trả nợ gốc vay trong năm</t>
  </si>
  <si>
    <t>Theo nguồn vốn vay</t>
  </si>
  <si>
    <t>*</t>
  </si>
  <si>
    <t>1.3</t>
  </si>
  <si>
    <t>Vốn khác</t>
  </si>
  <si>
    <t>Theo nguồn trả nợ</t>
  </si>
  <si>
    <t>Từ nguồn vay để trả nợ gốc</t>
  </si>
  <si>
    <t>Bội thu NSĐP</t>
  </si>
  <si>
    <t>Tăng thu, tiết kiệm chi</t>
  </si>
  <si>
    <t>2.4</t>
  </si>
  <si>
    <t>Kết dư ngân sách cấp tỉnh</t>
  </si>
  <si>
    <t>2.5</t>
  </si>
  <si>
    <t>2.6</t>
  </si>
  <si>
    <t>Nguồn trích 20% nguồn thu phí thủy lợi kênh Tân Hưng</t>
  </si>
  <si>
    <t>Tổng mức vay trong năm</t>
  </si>
  <si>
    <t>Theo mục đích vay</t>
  </si>
  <si>
    <t>Vay để bù đắp bội chi</t>
  </si>
  <si>
    <t>Vay để trả nợ gốc</t>
  </si>
  <si>
    <t>Theo nguồn vay</t>
  </si>
  <si>
    <t>Dự án Phát triển các đô thị hành lang sông Mekong, hợp phần tỉnh Tây Ninh - Phần vốn kết dư, vay vốn ADB, gồm:
 - Đường An Thạnh - Phước Chỉ
 - Hệ thống thu gom nước thải Thị trấn Bến Cầu</t>
  </si>
  <si>
    <t>Vốn trong nước khác</t>
  </si>
  <si>
    <t xml:space="preserve">IV </t>
  </si>
  <si>
    <t xml:space="preserve">Tổng dư nợ cuối năm </t>
  </si>
  <si>
    <t>Tỷ lệ mức dư nợ cuối kỳ so với mức dư nợ vay tối đa của ngân sách địa phương (%)</t>
  </si>
  <si>
    <t>G</t>
  </si>
  <si>
    <t>TRẢ NỢ LÃI, PHÍ</t>
  </si>
  <si>
    <t>Thu nội địa</t>
  </si>
  <si>
    <t>Thu từ doanh nghiệp nhà nước Trung ương</t>
  </si>
  <si>
    <t>Thu từ doanh nghiệp nhà nước địa phương</t>
  </si>
  <si>
    <t>Thu từ doanh nghiệp có vốn đầu tư nước ngoài</t>
  </si>
  <si>
    <t>Thu từ khu vực CTN và dịch vụ ngoài quốc doanh</t>
  </si>
  <si>
    <t>Thu tiền cho thuê mặt đất, mặt nước</t>
  </si>
  <si>
    <t>Thu khác ngân sách</t>
  </si>
  <si>
    <t xml:space="preserve">Tiền cấp quyền khai thác khoáng sản </t>
  </si>
  <si>
    <t xml:space="preserve">Thu thuế bảo vệ môi trường </t>
  </si>
  <si>
    <t>Thu cổ tức và lợi nhuận còn lại sau thuế</t>
  </si>
  <si>
    <t>Thu tại xã</t>
  </si>
  <si>
    <t>Thuế XNK,TTĐB,VAT hàng NK do Hải quan thu</t>
  </si>
  <si>
    <t>Tổng thu NSNN</t>
  </si>
  <si>
    <t>Thu từ XNK</t>
  </si>
  <si>
    <t>Thu NSĐP</t>
  </si>
  <si>
    <t>Thu cân đối NSĐP</t>
  </si>
  <si>
    <t>Thu 100% + điều tiết</t>
  </si>
  <si>
    <t>BS NSTW cân đối</t>
  </si>
  <si>
    <t>Thu chuyển nguồn</t>
  </si>
  <si>
    <t>Chi NSĐP</t>
  </si>
  <si>
    <t>Chi CĐNS ĐP</t>
  </si>
  <si>
    <t>Chi ĐTPT từ nguồn thu SDĐ và XSKT</t>
  </si>
  <si>
    <t xml:space="preserve">      - Chi ĐTPT từ nguồn thu SDĐ, thuê đất theo NĐ 167</t>
  </si>
  <si>
    <t xml:space="preserve">      - Chi ĐTPT từ XSKT</t>
  </si>
  <si>
    <t>Chi đo đạc, lưu trữ hồ sơ địa chính từ từ nguồn thu SDĐ</t>
  </si>
  <si>
    <t>Chi trả nợ gốc và lãi, phí vay các khoản do chính quyền địa phương vay</t>
  </si>
  <si>
    <t>Chi trả nợ gốc</t>
  </si>
  <si>
    <t>Chi trả lãi vay</t>
  </si>
  <si>
    <t>Chi bổ sung Quỹ DTTC</t>
  </si>
  <si>
    <t>Dự phòng</t>
  </si>
  <si>
    <t>Chi tạo nguồn thực hiện CCTL</t>
  </si>
  <si>
    <t>CHI CÁC CHƯƠNG TRÌNH MỤC TIÊU, NHIỆM VỤ</t>
  </si>
  <si>
    <t>Chi các chương trình mục tiêu quốc gia, Chương trình 135</t>
  </si>
  <si>
    <t>Chi đầu tư phát triển</t>
  </si>
  <si>
    <t>Đầu tư các dự án từ nguồn vốn nước ngoài</t>
  </si>
  <si>
    <t>Đầu tư các dự án từ nguồn vốn trong nước</t>
  </si>
  <si>
    <t xml:space="preserve">Trong đó: </t>
  </si>
  <si>
    <t xml:space="preserve"> + Một số nhiệm vụ (KP BTĐB, ATGT,…)</t>
  </si>
  <si>
    <t xml:space="preserve">    Trong đó: Chương trình mục tiêu</t>
  </si>
  <si>
    <t>Chi CĐNS ĐP 
(Loại trừ nguồn thu tiền sử dụng đất và sxkt)</t>
  </si>
  <si>
    <t xml:space="preserve">Thu NSTW BS các chương trình mục tiêu, nhiệm vụ </t>
  </si>
  <si>
    <t>Biếu số 01</t>
  </si>
  <si>
    <t>Biểu số 02</t>
  </si>
  <si>
    <t>Biểu số 03</t>
  </si>
  <si>
    <t>Dự toán</t>
  </si>
  <si>
    <t>ƯTH</t>
  </si>
  <si>
    <t>Dự toán
năm 2021</t>
  </si>
  <si>
    <t>Dự toán
năm 2022</t>
  </si>
  <si>
    <t>ĐVT: Triệu đồng.</t>
  </si>
  <si>
    <t>3=(2-1)</t>
  </si>
  <si>
    <t>4=(2/1)</t>
  </si>
  <si>
    <t>Số
TT</t>
  </si>
  <si>
    <t>Chi ngân sách địa phương</t>
  </si>
  <si>
    <t>Chi CĐNS ngân sách địa phương</t>
  </si>
  <si>
    <t>Chi đầu tư phát triển
(Loại trừ nguồn thu tiền sử dụng đất và sxkt)</t>
  </si>
  <si>
    <t>Chi Thường xuyên</t>
  </si>
  <si>
    <t>Biểu số 4</t>
  </si>
  <si>
    <t>Kế hoạch
năm 2020</t>
  </si>
  <si>
    <t>HẠN MỨC DƯ NỢ VAY TỐI ĐA CỦA NSĐP THEO QUY ĐỊNH</t>
  </si>
  <si>
    <t>c</t>
  </si>
  <si>
    <t>Vay vốn vay tín dụng Nhà nước để thực hiện Chương trình Kiên cố hóa kênh mương</t>
  </si>
  <si>
    <t>Kế hoạch
năm 2021</t>
  </si>
  <si>
    <t>Kế hoạch
năm 2022</t>
  </si>
  <si>
    <t>d</t>
  </si>
  <si>
    <t>Thu chuyển nguồn tăng thu tiết kiệm chi, kết dư ngân sách năm trước</t>
  </si>
  <si>
    <t>Chi đo đạc, lưu trữ hồ sơ địa chính từ nguồn thu SDĐ</t>
  </si>
  <si>
    <t>TH
năm 
2019</t>
  </si>
  <si>
    <t>Năm 2023</t>
  </si>
  <si>
    <t>Trong đó: Thu theo Nghị định số 167/2017/NĐ-CP</t>
  </si>
  <si>
    <t>Trong đó:- Thu theo Nghị định số 167/2017/NĐ-CP</t>
  </si>
  <si>
    <t xml:space="preserve"> - Thuê đất nông nghiệp, phi nông nghiệp</t>
  </si>
  <si>
    <t>Dự toán
  2020</t>
  </si>
  <si>
    <t>ƯTH năm
 2020</t>
  </si>
  <si>
    <t>KH 03 năm 2021-2023</t>
  </si>
  <si>
    <t>Dự toán  năm 2023</t>
  </si>
  <si>
    <t>Thu từ các khoản hoàn trả giữa các cấp ngân sách</t>
  </si>
  <si>
    <t>Thu kết dư ngân sách</t>
  </si>
  <si>
    <t>Biểu số 05</t>
  </si>
  <si>
    <t>BÁO CÁO</t>
  </si>
  <si>
    <r>
      <t xml:space="preserve">DỰ KIẾN THU NGÂN SÁCH NHÀ NƯỚC TRÊN ĐỊA BÀN GIAI ĐOẠN 2021-2025
</t>
    </r>
    <r>
      <rPr>
        <i/>
        <sz val="12"/>
        <rFont val="Times New Roman"/>
        <family val="1"/>
      </rPr>
      <t xml:space="preserve">(Kèm theo Báo cáo số             /BC-STC ngày        /01/2020 của Sở Tài chính) </t>
    </r>
  </si>
  <si>
    <t>Đơn vị tính: Triệu đồng</t>
  </si>
  <si>
    <t>S
tt</t>
  </si>
  <si>
    <t>Chỉ tiêu</t>
  </si>
  <si>
    <t>Dự kiến Thu NSNN giai đoạn 2021-2025</t>
  </si>
  <si>
    <t>Tăng BQ
2021-2025</t>
  </si>
  <si>
    <t>Năm 2024</t>
  </si>
  <si>
    <t>Năm 2025</t>
  </si>
  <si>
    <t>Tổng cộng
 2021-2025</t>
  </si>
  <si>
    <t>9=(4+...+8)</t>
  </si>
  <si>
    <t>TỔNG THU NSNN TRÊN ĐỊA BÀN (I+II)</t>
  </si>
  <si>
    <t>Thu nội địa (Loại trừ tiền sử dụng đất và XSKT)</t>
  </si>
  <si>
    <t>Trong đó: Thu cho thuê đất theo NĐ 167</t>
  </si>
  <si>
    <t>thu khác nstw</t>
  </si>
  <si>
    <t>bvmt</t>
  </si>
  <si>
    <t>phi tw</t>
  </si>
  <si>
    <t>nguồn tw</t>
  </si>
  <si>
    <t>nguồn đp</t>
  </si>
  <si>
    <t>xskt &amp;sdd</t>
  </si>
  <si>
    <t>DT2023
với
DT2022</t>
  </si>
  <si>
    <t>KẾ HOẠCH VAY VÀ TRẢ NỢ NGÂN SÁCH TỈNH NĂM 2021 - 2023</t>
  </si>
  <si>
    <t>(Kèm theo Báo cáo số            /BC-UBND ngày        tháng 11 năm 2020 của UBND Tỉnh)</t>
  </si>
  <si>
    <t>Thực hiện
năm 2019</t>
  </si>
  <si>
    <t>Ước TH
năm 2020</t>
  </si>
  <si>
    <t>Kế hoạch
năm 2023</t>
  </si>
  <si>
    <t>Phát triển chuỗi giá trị rau quả ứng dụng công nghệ thông minh với khí hậu tại VN giai đoạn 2021-2026</t>
  </si>
  <si>
    <t>Đầu tư nâng cấp trang thiết bị y tế các Bệnh viện tuyến huyện tỉnh Tây Ninh</t>
  </si>
  <si>
    <t>2.7</t>
  </si>
  <si>
    <t>Dự án Nước sạch và Vệ sinh nông thôn giai đoạn 2021 – 2025</t>
  </si>
  <si>
    <t>2.8</t>
  </si>
  <si>
    <t>Phát triển đô thị và thích ứng với Biến đổi khí hậu thị trấn Gò Dầu</t>
  </si>
  <si>
    <t>e</t>
  </si>
  <si>
    <t>f</t>
  </si>
  <si>
    <t>g</t>
  </si>
  <si>
    <t>h</t>
  </si>
  <si>
    <t xml:space="preserve">Nguồn DT chi XDCB đầu năm </t>
  </si>
  <si>
    <t>DT2021
với
DT2020</t>
  </si>
  <si>
    <t>Thu 100% + điều tiết 
(Loại trừ tiền sử dụng đất và XSKT, thu NĐ 167)</t>
  </si>
  <si>
    <t>Chi ĐTPT 
(Loại trừ nguồn thu tiền sử dụng đất và xskt)</t>
  </si>
  <si>
    <t>Thực hiện
 năm 2019</t>
  </si>
  <si>
    <t>Dự toán 
năm 2021</t>
  </si>
  <si>
    <t>Dự toán
năm 2023</t>
  </si>
  <si>
    <r>
      <t xml:space="preserve">DỰ KIẾN CÂN ĐỐI NGÂN SÁCH ĐỊA PHƯƠNG GIAI ĐOẠN 03 NĂM 2021 - 2023
</t>
    </r>
    <r>
      <rPr>
        <i/>
        <sz val="13"/>
        <rFont val="Times New Roman"/>
        <family val="1"/>
      </rPr>
      <t>(Kèm theo Báo cáo số            /BC-UBND ngày        tháng 11 năm 2020 của UBND Tỉnh)</t>
    </r>
  </si>
  <si>
    <t>Chi trả lãi, phí vay các khoản do chính quyền địa phương vay</t>
  </si>
  <si>
    <r>
      <t xml:space="preserve">KẾ HOẠCH CHI GIAI ĐOẠN 3 NĂM 2021-2023
</t>
    </r>
    <r>
      <rPr>
        <i/>
        <sz val="12"/>
        <color theme="1"/>
        <rFont val="Times New Roman"/>
        <family val="1"/>
      </rPr>
      <t>(Kèm theo Báo cáo số            /BC-UBND ngày        tháng 11 năm 2020 của UBND Tỉnh)</t>
    </r>
  </si>
  <si>
    <r>
      <t xml:space="preserve">BIỂU TỔNG HỢP THU NSNN GIAI ĐOẠN 3 NĂM 2021 - 2023
</t>
    </r>
    <r>
      <rPr>
        <i/>
        <sz val="14"/>
        <color theme="1"/>
        <rFont val="Times New Roman"/>
        <family val="1"/>
      </rPr>
      <t>(Kèm theo Báo cáo số            /BC-UBND ngày        tháng 11 năm 2020 của UBND Tỉnh)</t>
    </r>
  </si>
  <si>
    <t>Chi ĐTPT từ nguồn thu SDĐ, thuê đất và XSKT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</si>
</sst>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#,##0;[Red]\-#,##0\ \ ;&quot;&quot;;@"/>
    <numFmt numFmtId="166" formatCode="0.0%"/>
    <numFmt numFmtId="167" formatCode="#,##0;[Red]#,##0"/>
  </numFmts>
  <fonts count="7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u/>
      <sz val="12"/>
      <name val="Times New Roman"/>
      <family val="1"/>
    </font>
    <font>
      <b/>
      <u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.VnTime"/>
      <family val="2"/>
    </font>
    <font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3"/>
      <name val="Times New Roman"/>
      <family val="1"/>
      <charset val="163"/>
    </font>
    <font>
      <b/>
      <sz val="11"/>
      <name val="Times New Roman"/>
      <family val="1"/>
    </font>
    <font>
      <sz val="10"/>
      <name val="Arial"/>
      <family val="2"/>
    </font>
    <font>
      <i/>
      <sz val="13"/>
      <name val="Times New Roman"/>
      <family val="1"/>
    </font>
    <font>
      <i/>
      <sz val="11"/>
      <name val="Times New Roman"/>
      <family val="1"/>
    </font>
    <font>
      <sz val="14"/>
      <name val="Times New Roman"/>
      <family val="1"/>
    </font>
    <font>
      <u/>
      <sz val="12"/>
      <name val="Times New Roman"/>
      <family val="1"/>
    </font>
    <font>
      <sz val="13"/>
      <name val="Times New Roman"/>
      <family val="1"/>
    </font>
    <font>
      <b/>
      <sz val="12"/>
      <name val="VNI-Times"/>
    </font>
    <font>
      <sz val="12"/>
      <name val="VNI-Times"/>
    </font>
    <font>
      <b/>
      <i/>
      <sz val="12"/>
      <name val="Times New Roman"/>
      <family val="1"/>
    </font>
    <font>
      <b/>
      <sz val="13"/>
      <name val="Times New Roman"/>
      <family val="1"/>
    </font>
    <font>
      <sz val="8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u/>
      <sz val="14"/>
      <name val="Times New Roman"/>
      <family val="1"/>
    </font>
    <font>
      <i/>
      <u/>
      <sz val="14"/>
      <name val="Times New Roman"/>
      <family val="1"/>
    </font>
    <font>
      <sz val="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FF0000"/>
      <name val="Times New Roman"/>
      <family val="1"/>
    </font>
    <font>
      <i/>
      <sz val="12"/>
      <color rgb="FFFF0000"/>
      <name val="Calibri"/>
      <family val="2"/>
      <scheme val="minor"/>
    </font>
    <font>
      <sz val="10"/>
      <name val="Times New Roman"/>
      <family val="1"/>
    </font>
    <font>
      <b/>
      <sz val="9"/>
      <name val="Times New Roman"/>
      <family val="1"/>
    </font>
    <font>
      <u/>
      <sz val="12"/>
      <color rgb="FF0000FF"/>
      <name val="Times New Roman"/>
      <family val="1"/>
    </font>
    <font>
      <u/>
      <sz val="14"/>
      <color rgb="FF0000FF"/>
      <name val="Times New Roman"/>
      <family val="1"/>
    </font>
    <font>
      <i/>
      <u/>
      <sz val="14"/>
      <color rgb="FF0000FF"/>
      <name val="Times New Roman"/>
      <family val="1"/>
    </font>
    <font>
      <i/>
      <sz val="12"/>
      <color rgb="FF7030A0"/>
      <name val="Times New Roman"/>
      <family val="1"/>
    </font>
    <font>
      <sz val="14"/>
      <color rgb="FF00B050"/>
      <name val="Times New Roman"/>
      <family val="1"/>
    </font>
    <font>
      <sz val="14"/>
      <color rgb="FFFF00FF"/>
      <name val="Times New Roman"/>
      <family val="1"/>
    </font>
    <font>
      <b/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C00000"/>
      <name val="Times New Roman"/>
      <family val="1"/>
    </font>
    <font>
      <b/>
      <sz val="10"/>
      <color rgb="FF0070C0"/>
      <name val="Times New Roman"/>
      <family val="1"/>
    </font>
    <font>
      <sz val="10"/>
      <color rgb="FF00B050"/>
      <name val="Times New Roman"/>
      <family val="1"/>
    </font>
    <font>
      <b/>
      <sz val="10"/>
      <color rgb="FF0000FF"/>
      <name val="Times New Roman"/>
      <family val="1"/>
    </font>
    <font>
      <sz val="10"/>
      <color rgb="FF0000FF"/>
      <name val="Times New Roman"/>
      <family val="1"/>
    </font>
    <font>
      <sz val="10"/>
      <color rgb="FFFF0000"/>
      <name val="Times New Roman"/>
      <family val="1"/>
    </font>
    <font>
      <sz val="14"/>
      <color rgb="FFFF0000"/>
      <name val="Times New Roman"/>
      <family val="1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theme="1"/>
      <name val="Times New Roman"/>
      <family val="1"/>
    </font>
    <font>
      <i/>
      <sz val="11"/>
      <color theme="1"/>
      <name val="Times New Roman"/>
      <family val="1"/>
    </font>
    <font>
      <b/>
      <sz val="13"/>
      <color theme="1"/>
      <name val="Times New Roman"/>
      <family val="1"/>
    </font>
    <font>
      <b/>
      <sz val="8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3"/>
      <color theme="1"/>
      <name val="Times New Roman"/>
      <family val="1"/>
    </font>
    <font>
      <i/>
      <sz val="13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3" fillId="0" borderId="0"/>
    <xf numFmtId="0" fontId="21" fillId="0" borderId="0"/>
    <xf numFmtId="0" fontId="27" fillId="0" borderId="9" applyNumberFormat="0" applyFont="0" applyAlignment="0"/>
    <xf numFmtId="0" fontId="28" fillId="0" borderId="9" applyNumberFormat="0" applyFont="0" applyAlignment="0"/>
    <xf numFmtId="0" fontId="1" fillId="0" borderId="0"/>
  </cellStyleXfs>
  <cellXfs count="353">
    <xf numFmtId="0" fontId="0" fillId="0" borderId="0" xfId="0"/>
    <xf numFmtId="3" fontId="8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6" xfId="0" applyFont="1" applyBorder="1" applyAlignment="1">
      <alignment vertical="center" wrapText="1"/>
    </xf>
    <xf numFmtId="3" fontId="8" fillId="0" borderId="6" xfId="0" applyNumberFormat="1" applyFont="1" applyBorder="1" applyAlignment="1">
      <alignment vertical="center" wrapText="1"/>
    </xf>
    <xf numFmtId="3" fontId="8" fillId="2" borderId="6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3" fontId="5" fillId="0" borderId="6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6" fillId="0" borderId="7" xfId="0" applyFont="1" applyBorder="1" applyAlignment="1">
      <alignment vertical="center" wrapText="1"/>
    </xf>
    <xf numFmtId="3" fontId="15" fillId="0" borderId="7" xfId="0" applyNumberFormat="1" applyFont="1" applyBorder="1" applyAlignment="1">
      <alignment vertical="center" wrapText="1"/>
    </xf>
    <xf numFmtId="3" fontId="5" fillId="0" borderId="7" xfId="0" applyNumberFormat="1" applyFont="1" applyBorder="1" applyAlignment="1">
      <alignment vertical="center" wrapText="1"/>
    </xf>
    <xf numFmtId="0" fontId="0" fillId="0" borderId="0" xfId="0" applyFont="1"/>
    <xf numFmtId="0" fontId="2" fillId="0" borderId="0" xfId="0" applyFont="1"/>
    <xf numFmtId="3" fontId="0" fillId="0" borderId="0" xfId="0" applyNumberFormat="1" applyFont="1"/>
    <xf numFmtId="0" fontId="5" fillId="2" borderId="6" xfId="0" applyFont="1" applyFill="1" applyBorder="1"/>
    <xf numFmtId="0" fontId="8" fillId="2" borderId="6" xfId="0" applyFont="1" applyFill="1" applyBorder="1" applyAlignment="1">
      <alignment horizontal="center"/>
    </xf>
    <xf numFmtId="0" fontId="36" fillId="0" borderId="0" xfId="0" applyFont="1" applyAlignment="1">
      <alignment horizontal="center" vertical="center"/>
    </xf>
    <xf numFmtId="0" fontId="29" fillId="2" borderId="6" xfId="0" applyFont="1" applyFill="1" applyBorder="1" applyAlignment="1">
      <alignment wrapText="1"/>
    </xf>
    <xf numFmtId="0" fontId="15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9" fillId="0" borderId="0" xfId="0" applyFont="1"/>
    <xf numFmtId="3" fontId="9" fillId="0" borderId="0" xfId="0" applyNumberFormat="1" applyFont="1" applyAlignment="1">
      <alignment vertical="center"/>
    </xf>
    <xf numFmtId="3" fontId="7" fillId="0" borderId="6" xfId="0" applyNumberFormat="1" applyFont="1" applyBorder="1" applyAlignment="1">
      <alignment vertical="center" wrapText="1"/>
    </xf>
    <xf numFmtId="0" fontId="40" fillId="0" borderId="0" xfId="0" applyFont="1" applyAlignment="1">
      <alignment vertical="center"/>
    </xf>
    <xf numFmtId="0" fontId="7" fillId="2" borderId="6" xfId="0" applyFont="1" applyFill="1" applyBorder="1"/>
    <xf numFmtId="0" fontId="41" fillId="2" borderId="6" xfId="0" applyFont="1" applyFill="1" applyBorder="1"/>
    <xf numFmtId="0" fontId="42" fillId="0" borderId="0" xfId="0" applyFont="1" applyAlignment="1">
      <alignment vertical="center"/>
    </xf>
    <xf numFmtId="0" fontId="42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10" fontId="29" fillId="2" borderId="0" xfId="0" applyNumberFormat="1" applyFont="1" applyFill="1" applyBorder="1" applyAlignment="1">
      <alignment readingOrder="1"/>
    </xf>
    <xf numFmtId="0" fontId="8" fillId="2" borderId="0" xfId="0" applyFont="1" applyFill="1" applyAlignment="1">
      <alignment readingOrder="1"/>
    </xf>
    <xf numFmtId="3" fontId="8" fillId="2" borderId="0" xfId="0" applyNumberFormat="1" applyFont="1" applyFill="1" applyAlignment="1">
      <alignment readingOrder="1"/>
    </xf>
    <xf numFmtId="10" fontId="23" fillId="2" borderId="0" xfId="0" applyNumberFormat="1" applyFont="1" applyFill="1" applyBorder="1" applyAlignment="1">
      <alignment horizontal="right" readingOrder="1"/>
    </xf>
    <xf numFmtId="0" fontId="5" fillId="2" borderId="0" xfId="0" applyFont="1" applyFill="1"/>
    <xf numFmtId="0" fontId="43" fillId="2" borderId="3" xfId="0" applyFont="1" applyFill="1" applyBorder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8" fillId="2" borderId="5" xfId="0" applyFont="1" applyFill="1" applyBorder="1"/>
    <xf numFmtId="0" fontId="8" fillId="2" borderId="5" xfId="0" applyFont="1" applyFill="1" applyBorder="1" applyAlignment="1">
      <alignment horizontal="center"/>
    </xf>
    <xf numFmtId="3" fontId="10" fillId="2" borderId="5" xfId="0" applyNumberFormat="1" applyFont="1" applyFill="1" applyBorder="1" applyAlignment="1">
      <alignment readingOrder="1"/>
    </xf>
    <xf numFmtId="166" fontId="10" fillId="2" borderId="5" xfId="0" applyNumberFormat="1" applyFont="1" applyFill="1" applyBorder="1" applyAlignment="1">
      <alignment readingOrder="1"/>
    </xf>
    <xf numFmtId="0" fontId="8" fillId="2" borderId="6" xfId="0" applyFont="1" applyFill="1" applyBorder="1"/>
    <xf numFmtId="3" fontId="8" fillId="2" borderId="6" xfId="0" applyNumberFormat="1" applyFont="1" applyFill="1" applyBorder="1" applyAlignment="1">
      <alignment readingOrder="1"/>
    </xf>
    <xf numFmtId="166" fontId="8" fillId="2" borderId="6" xfId="0" applyNumberFormat="1" applyFont="1" applyFill="1" applyBorder="1" applyAlignment="1">
      <alignment readingOrder="1"/>
    </xf>
    <xf numFmtId="3" fontId="5" fillId="2" borderId="6" xfId="0" applyNumberFormat="1" applyFont="1" applyFill="1" applyBorder="1" applyAlignment="1">
      <alignment readingOrder="1"/>
    </xf>
    <xf numFmtId="0" fontId="29" fillId="2" borderId="6" xfId="0" applyFont="1" applyFill="1" applyBorder="1" applyAlignment="1">
      <alignment horizontal="center"/>
    </xf>
    <xf numFmtId="3" fontId="29" fillId="2" borderId="6" xfId="0" applyNumberFormat="1" applyFont="1" applyFill="1" applyBorder="1" applyAlignment="1">
      <alignment readingOrder="1"/>
    </xf>
    <xf numFmtId="166" fontId="29" fillId="2" borderId="6" xfId="0" applyNumberFormat="1" applyFont="1" applyFill="1" applyBorder="1" applyAlignment="1">
      <alignment readingOrder="1"/>
    </xf>
    <xf numFmtId="0" fontId="29" fillId="2" borderId="0" xfId="0" applyFont="1" applyFill="1" applyAlignment="1">
      <alignment readingOrder="1"/>
    </xf>
    <xf numFmtId="166" fontId="5" fillId="2" borderId="6" xfId="0" applyNumberFormat="1" applyFont="1" applyFill="1" applyBorder="1" applyAlignment="1">
      <alignment readingOrder="1"/>
    </xf>
    <xf numFmtId="0" fontId="5" fillId="2" borderId="0" xfId="0" applyFont="1" applyFill="1" applyAlignment="1">
      <alignment readingOrder="1"/>
    </xf>
    <xf numFmtId="0" fontId="7" fillId="2" borderId="6" xfId="0" applyFont="1" applyFill="1" applyBorder="1" applyAlignment="1">
      <alignment horizontal="right"/>
    </xf>
    <xf numFmtId="3" fontId="7" fillId="2" borderId="6" xfId="0" applyNumberFormat="1" applyFont="1" applyFill="1" applyBorder="1" applyAlignment="1">
      <alignment readingOrder="1"/>
    </xf>
    <xf numFmtId="166" fontId="7" fillId="2" borderId="6" xfId="0" applyNumberFormat="1" applyFont="1" applyFill="1" applyBorder="1" applyAlignment="1">
      <alignment readingOrder="1"/>
    </xf>
    <xf numFmtId="0" fontId="7" fillId="2" borderId="0" xfId="0" applyFont="1" applyFill="1" applyAlignment="1">
      <alignment readingOrder="1"/>
    </xf>
    <xf numFmtId="0" fontId="41" fillId="0" borderId="6" xfId="0" applyFont="1" applyFill="1" applyBorder="1" applyAlignment="1">
      <alignment vertical="center" wrapText="1"/>
    </xf>
    <xf numFmtId="3" fontId="41" fillId="2" borderId="6" xfId="0" applyNumberFormat="1" applyFont="1" applyFill="1" applyBorder="1" applyAlignment="1">
      <alignment readingOrder="1"/>
    </xf>
    <xf numFmtId="166" fontId="41" fillId="2" borderId="6" xfId="0" applyNumberFormat="1" applyFont="1" applyFill="1" applyBorder="1" applyAlignment="1">
      <alignment readingOrder="1"/>
    </xf>
    <xf numFmtId="0" fontId="41" fillId="2" borderId="0" xfId="0" applyFont="1" applyFill="1" applyAlignment="1">
      <alignment readingOrder="1"/>
    </xf>
    <xf numFmtId="0" fontId="5" fillId="2" borderId="6" xfId="0" applyFont="1" applyFill="1" applyBorder="1" applyAlignment="1"/>
    <xf numFmtId="3" fontId="5" fillId="2" borderId="6" xfId="0" applyNumberFormat="1" applyFont="1" applyFill="1" applyBorder="1"/>
    <xf numFmtId="0" fontId="8" fillId="2" borderId="7" xfId="0" applyFont="1" applyFill="1" applyBorder="1" applyAlignment="1">
      <alignment horizontal="center"/>
    </xf>
    <xf numFmtId="0" fontId="8" fillId="2" borderId="7" xfId="0" applyFont="1" applyFill="1" applyBorder="1" applyAlignment="1"/>
    <xf numFmtId="3" fontId="8" fillId="2" borderId="7" xfId="0" applyNumberFormat="1" applyFont="1" applyFill="1" applyBorder="1" applyAlignment="1">
      <alignment readingOrder="1"/>
    </xf>
    <xf numFmtId="166" fontId="8" fillId="2" borderId="7" xfId="0" applyNumberFormat="1" applyFont="1" applyFill="1" applyBorder="1" applyAlignment="1">
      <alignment readingOrder="1"/>
    </xf>
    <xf numFmtId="0" fontId="8" fillId="2" borderId="0" xfId="0" applyFont="1" applyFill="1"/>
    <xf numFmtId="3" fontId="5" fillId="2" borderId="0" xfId="0" applyNumberFormat="1" applyFont="1" applyFill="1" applyAlignment="1">
      <alignment readingOrder="1"/>
    </xf>
    <xf numFmtId="10" fontId="4" fillId="2" borderId="0" xfId="0" applyNumberFormat="1" applyFont="1" applyFill="1"/>
    <xf numFmtId="0" fontId="20" fillId="2" borderId="0" xfId="0" applyFont="1" applyFill="1"/>
    <xf numFmtId="3" fontId="20" fillId="2" borderId="0" xfId="0" applyNumberFormat="1" applyFont="1" applyFill="1"/>
    <xf numFmtId="10" fontId="20" fillId="2" borderId="0" xfId="0" applyNumberFormat="1" applyFont="1" applyFill="1"/>
    <xf numFmtId="166" fontId="40" fillId="0" borderId="0" xfId="0" applyNumberFormat="1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7" fillId="0" borderId="1" xfId="0" applyNumberFormat="1" applyFont="1" applyBorder="1"/>
    <xf numFmtId="0" fontId="44" fillId="0" borderId="3" xfId="0" applyFont="1" applyBorder="1" applyAlignment="1">
      <alignment horizontal="center" vertical="center" wrapText="1"/>
    </xf>
    <xf numFmtId="3" fontId="44" fillId="0" borderId="3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3" fontId="8" fillId="0" borderId="5" xfId="0" applyNumberFormat="1" applyFont="1" applyBorder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3" fontId="30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6" xfId="0" applyFont="1" applyBorder="1" applyAlignment="1">
      <alignment vertical="center" wrapText="1"/>
    </xf>
    <xf numFmtId="9" fontId="7" fillId="0" borderId="6" xfId="0" applyNumberFormat="1" applyFont="1" applyBorder="1" applyAlignment="1">
      <alignment vertical="center" wrapText="1"/>
    </xf>
    <xf numFmtId="0" fontId="45" fillId="0" borderId="6" xfId="0" applyFont="1" applyBorder="1" applyAlignment="1">
      <alignment horizontal="center" vertical="center" wrapText="1"/>
    </xf>
    <xf numFmtId="0" fontId="45" fillId="0" borderId="6" xfId="0" applyFont="1" applyBorder="1" applyAlignment="1">
      <alignment vertical="center" wrapText="1"/>
    </xf>
    <xf numFmtId="3" fontId="45" fillId="0" borderId="6" xfId="0" applyNumberFormat="1" applyFont="1" applyBorder="1" applyAlignment="1">
      <alignment vertical="center" wrapText="1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3" fontId="48" fillId="0" borderId="6" xfId="0" applyNumberFormat="1" applyFont="1" applyBorder="1" applyAlignment="1">
      <alignment vertical="center" wrapText="1"/>
    </xf>
    <xf numFmtId="3" fontId="49" fillId="0" borderId="6" xfId="0" applyNumberFormat="1" applyFont="1" applyBorder="1" applyAlignment="1">
      <alignment horizontal="right" vertical="center"/>
    </xf>
    <xf numFmtId="3" fontId="50" fillId="0" borderId="6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3" fontId="46" fillId="0" borderId="0" xfId="0" applyNumberFormat="1" applyFont="1" applyAlignment="1">
      <alignment vertical="center"/>
    </xf>
    <xf numFmtId="9" fontId="5" fillId="0" borderId="6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3" fontId="25" fillId="0" borderId="6" xfId="0" applyNumberFormat="1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3" fontId="8" fillId="0" borderId="7" xfId="0" applyNumberFormat="1" applyFont="1" applyBorder="1" applyAlignment="1">
      <alignment vertical="center" wrapText="1"/>
    </xf>
    <xf numFmtId="0" fontId="24" fillId="0" borderId="0" xfId="0" applyFont="1" applyAlignment="1">
      <alignment horizontal="center"/>
    </xf>
    <xf numFmtId="0" fontId="24" fillId="0" borderId="0" xfId="0" applyFont="1"/>
    <xf numFmtId="3" fontId="24" fillId="0" borderId="0" xfId="0" applyNumberFormat="1" applyFont="1"/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37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0" fillId="0" borderId="7" xfId="0" applyFont="1" applyFill="1" applyBorder="1" applyAlignment="1">
      <alignment vertical="center"/>
    </xf>
    <xf numFmtId="3" fontId="24" fillId="0" borderId="0" xfId="0" applyNumberFormat="1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19" fillId="0" borderId="0" xfId="4" applyFont="1" applyFill="1"/>
    <xf numFmtId="0" fontId="20" fillId="0" borderId="0" xfId="0" applyFont="1" applyFill="1" applyAlignment="1">
      <alignment vertical="center" wrapText="1"/>
    </xf>
    <xf numFmtId="0" fontId="51" fillId="0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vertical="center"/>
    </xf>
    <xf numFmtId="0" fontId="2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center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vertical="center" wrapText="1"/>
    </xf>
    <xf numFmtId="3" fontId="52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vertical="center"/>
    </xf>
    <xf numFmtId="3" fontId="53" fillId="0" borderId="0" xfId="0" applyNumberFormat="1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3" fontId="33" fillId="0" borderId="6" xfId="0" applyNumberFormat="1" applyFont="1" applyFill="1" applyBorder="1" applyAlignment="1">
      <alignment horizontal="right" vertical="center"/>
    </xf>
    <xf numFmtId="3" fontId="33" fillId="0" borderId="6" xfId="0" applyNumberFormat="1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3" fontId="32" fillId="0" borderId="6" xfId="0" applyNumberFormat="1" applyFont="1" applyFill="1" applyBorder="1" applyAlignment="1">
      <alignment horizontal="right" vertical="center" wrapText="1"/>
    </xf>
    <xf numFmtId="3" fontId="32" fillId="0" borderId="6" xfId="0" applyNumberFormat="1" applyFont="1" applyFill="1" applyBorder="1" applyAlignment="1">
      <alignment vertical="center"/>
    </xf>
    <xf numFmtId="0" fontId="55" fillId="0" borderId="0" xfId="0" applyFont="1" applyFill="1" applyAlignment="1">
      <alignment vertical="center"/>
    </xf>
    <xf numFmtId="0" fontId="56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0" fontId="58" fillId="0" borderId="0" xfId="0" applyFont="1" applyFill="1" applyAlignment="1">
      <alignment vertical="center"/>
    </xf>
    <xf numFmtId="0" fontId="33" fillId="0" borderId="6" xfId="0" applyFont="1" applyFill="1" applyBorder="1" applyAlignment="1">
      <alignment horizontal="center" vertical="center"/>
    </xf>
    <xf numFmtId="166" fontId="33" fillId="0" borderId="6" xfId="0" applyNumberFormat="1" applyFont="1" applyFill="1" applyBorder="1" applyAlignment="1">
      <alignment vertical="center"/>
    </xf>
    <xf numFmtId="166" fontId="33" fillId="0" borderId="6" xfId="2" applyNumberFormat="1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59" fillId="0" borderId="0" xfId="0" applyFont="1" applyFill="1" applyAlignment="1">
      <alignment vertical="center"/>
    </xf>
    <xf numFmtId="0" fontId="33" fillId="0" borderId="6" xfId="0" applyFont="1" applyFill="1" applyBorder="1" applyAlignment="1">
      <alignment horizontal="left" vertical="center" wrapText="1"/>
    </xf>
    <xf numFmtId="3" fontId="33" fillId="0" borderId="6" xfId="1" applyNumberFormat="1" applyFont="1" applyFill="1" applyBorder="1" applyAlignment="1">
      <alignment horizontal="right" vertical="center" wrapText="1"/>
    </xf>
    <xf numFmtId="0" fontId="32" fillId="0" borderId="6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vertical="center"/>
    </xf>
    <xf numFmtId="3" fontId="32" fillId="0" borderId="6" xfId="0" applyNumberFormat="1" applyFont="1" applyFill="1" applyBorder="1" applyAlignment="1">
      <alignment horizontal="right" vertical="center"/>
    </xf>
    <xf numFmtId="166" fontId="32" fillId="0" borderId="6" xfId="0" applyNumberFormat="1" applyFont="1" applyFill="1" applyBorder="1" applyAlignment="1">
      <alignment vertical="center"/>
    </xf>
    <xf numFmtId="166" fontId="32" fillId="0" borderId="6" xfId="2" applyNumberFormat="1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2" fillId="0" borderId="6" xfId="0" applyFont="1" applyFill="1" applyBorder="1" applyAlignment="1">
      <alignment horizontal="left" vertical="center" wrapText="1"/>
    </xf>
    <xf numFmtId="3" fontId="32" fillId="0" borderId="6" xfId="1" applyNumberFormat="1" applyFont="1" applyFill="1" applyBorder="1" applyAlignment="1">
      <alignment horizontal="right" vertical="center" wrapText="1"/>
    </xf>
    <xf numFmtId="0" fontId="34" fillId="0" borderId="6" xfId="0" applyFont="1" applyFill="1" applyBorder="1" applyAlignment="1">
      <alignment horizontal="center" vertical="center"/>
    </xf>
    <xf numFmtId="2" fontId="34" fillId="0" borderId="6" xfId="0" applyNumberFormat="1" applyFont="1" applyFill="1" applyBorder="1" applyAlignment="1">
      <alignment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horizontal="center" vertical="center" wrapText="1"/>
    </xf>
    <xf numFmtId="3" fontId="33" fillId="0" borderId="6" xfId="5" applyNumberFormat="1" applyFont="1" applyFill="1" applyBorder="1" applyAlignment="1">
      <alignment horizontal="right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vertical="center" wrapText="1"/>
    </xf>
    <xf numFmtId="0" fontId="33" fillId="0" borderId="7" xfId="0" applyFont="1" applyFill="1" applyBorder="1" applyAlignment="1">
      <alignment vertical="center"/>
    </xf>
    <xf numFmtId="3" fontId="33" fillId="0" borderId="7" xfId="1" applyNumberFormat="1" applyFont="1" applyFill="1" applyBorder="1" applyAlignment="1">
      <alignment horizontal="right" vertical="center" wrapText="1"/>
    </xf>
    <xf numFmtId="3" fontId="33" fillId="0" borderId="7" xfId="0" applyNumberFormat="1" applyFont="1" applyFill="1" applyBorder="1" applyAlignment="1">
      <alignment vertical="center"/>
    </xf>
    <xf numFmtId="3" fontId="60" fillId="0" borderId="7" xfId="0" applyNumberFormat="1" applyFont="1" applyFill="1" applyBorder="1" applyAlignment="1">
      <alignment vertical="center"/>
    </xf>
    <xf numFmtId="166" fontId="33" fillId="0" borderId="7" xfId="2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/>
    </xf>
    <xf numFmtId="3" fontId="5" fillId="0" borderId="8" xfId="1" applyNumberFormat="1" applyFont="1" applyFill="1" applyBorder="1" applyAlignment="1">
      <alignment horizontal="right" vertical="center" wrapText="1"/>
    </xf>
    <xf numFmtId="3" fontId="4" fillId="0" borderId="8" xfId="0" applyNumberFormat="1" applyFont="1" applyFill="1" applyBorder="1" applyAlignment="1">
      <alignment vertical="center"/>
    </xf>
    <xf numFmtId="0" fontId="61" fillId="0" borderId="8" xfId="0" applyFont="1" applyFill="1" applyBorder="1"/>
    <xf numFmtId="3" fontId="53" fillId="0" borderId="8" xfId="0" applyNumberFormat="1" applyFont="1" applyFill="1" applyBorder="1" applyAlignment="1">
      <alignment vertical="center"/>
    </xf>
    <xf numFmtId="166" fontId="4" fillId="0" borderId="8" xfId="2" applyNumberFormat="1" applyFont="1" applyFill="1" applyBorder="1" applyAlignment="1">
      <alignment vertical="center"/>
    </xf>
    <xf numFmtId="166" fontId="60" fillId="0" borderId="6" xfId="2" applyNumberFormat="1" applyFont="1" applyFill="1" applyBorder="1" applyAlignment="1"/>
    <xf numFmtId="3" fontId="5" fillId="0" borderId="6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8" applyFont="1" applyBorder="1" applyAlignment="1">
      <alignment vertical="top"/>
    </xf>
    <xf numFmtId="0" fontId="5" fillId="0" borderId="0" xfId="0" applyFont="1" applyBorder="1"/>
    <xf numFmtId="0" fontId="62" fillId="0" borderId="0" xfId="0" applyFont="1" applyFill="1" applyAlignment="1">
      <alignment horizontal="center" vertical="center"/>
    </xf>
    <xf numFmtId="0" fontId="62" fillId="0" borderId="0" xfId="0" applyFont="1" applyFill="1" applyAlignment="1">
      <alignment vertical="center"/>
    </xf>
    <xf numFmtId="3" fontId="62" fillId="0" borderId="0" xfId="0" applyNumberFormat="1" applyFont="1" applyFill="1" applyAlignment="1">
      <alignment vertical="center"/>
    </xf>
    <xf numFmtId="3" fontId="63" fillId="0" borderId="0" xfId="0" applyNumberFormat="1" applyFont="1" applyFill="1" applyAlignment="1">
      <alignment vertical="top" wrapText="1"/>
    </xf>
    <xf numFmtId="167" fontId="66" fillId="0" borderId="0" xfId="0" applyNumberFormat="1" applyFont="1" applyFill="1"/>
    <xf numFmtId="0" fontId="62" fillId="0" borderId="0" xfId="0" applyFont="1" applyFill="1" applyAlignment="1">
      <alignment horizontal="center" wrapText="1"/>
    </xf>
    <xf numFmtId="0" fontId="62" fillId="0" borderId="0" xfId="0" applyFont="1" applyFill="1" applyAlignment="1">
      <alignment wrapText="1"/>
    </xf>
    <xf numFmtId="3" fontId="62" fillId="0" borderId="0" xfId="0" applyNumberFormat="1" applyFont="1" applyFill="1" applyAlignment="1">
      <alignment wrapText="1"/>
    </xf>
    <xf numFmtId="0" fontId="68" fillId="0" borderId="0" xfId="0" applyFont="1" applyFill="1" applyAlignment="1">
      <alignment vertical="center"/>
    </xf>
    <xf numFmtId="3" fontId="63" fillId="0" borderId="3" xfId="0" applyNumberFormat="1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10" fontId="69" fillId="0" borderId="3" xfId="0" applyNumberFormat="1" applyFont="1" applyFill="1" applyBorder="1" applyAlignment="1">
      <alignment horizontal="center" vertical="center"/>
    </xf>
    <xf numFmtId="3" fontId="69" fillId="0" borderId="3" xfId="0" applyNumberFormat="1" applyFont="1" applyFill="1" applyBorder="1" applyAlignment="1">
      <alignment horizontal="center" vertical="center"/>
    </xf>
    <xf numFmtId="3" fontId="6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Alignment="1">
      <alignment vertical="center"/>
    </xf>
    <xf numFmtId="0" fontId="70" fillId="0" borderId="5" xfId="0" applyFont="1" applyFill="1" applyBorder="1" applyAlignment="1">
      <alignment horizontal="center" vertical="center"/>
    </xf>
    <xf numFmtId="3" fontId="71" fillId="0" borderId="5" xfId="0" applyNumberFormat="1" applyFont="1" applyFill="1" applyBorder="1" applyAlignment="1">
      <alignment vertical="center"/>
    </xf>
    <xf numFmtId="3" fontId="71" fillId="0" borderId="0" xfId="0" applyNumberFormat="1" applyFont="1" applyFill="1" applyAlignment="1">
      <alignment vertical="center"/>
    </xf>
    <xf numFmtId="0" fontId="71" fillId="0" borderId="0" xfId="0" applyFont="1" applyFill="1" applyAlignment="1">
      <alignment vertical="center"/>
    </xf>
    <xf numFmtId="0" fontId="63" fillId="0" borderId="6" xfId="0" applyFont="1" applyFill="1" applyBorder="1" applyAlignment="1">
      <alignment horizontal="center" vertical="center"/>
    </xf>
    <xf numFmtId="0" fontId="70" fillId="0" borderId="6" xfId="0" applyFont="1" applyFill="1" applyBorder="1" applyAlignment="1">
      <alignment horizontal="left" vertical="center"/>
    </xf>
    <xf numFmtId="3" fontId="68" fillId="0" borderId="6" xfId="0" applyNumberFormat="1" applyFont="1" applyFill="1" applyBorder="1" applyAlignment="1">
      <alignment vertical="center"/>
    </xf>
    <xf numFmtId="10" fontId="68" fillId="0" borderId="0" xfId="0" applyNumberFormat="1" applyFont="1" applyFill="1" applyAlignment="1">
      <alignment vertical="center"/>
    </xf>
    <xf numFmtId="0" fontId="63" fillId="0" borderId="6" xfId="0" applyFont="1" applyFill="1" applyBorder="1" applyAlignment="1">
      <alignment vertical="center"/>
    </xf>
    <xf numFmtId="3" fontId="68" fillId="0" borderId="0" xfId="0" applyNumberFormat="1" applyFont="1" applyFill="1" applyAlignment="1">
      <alignment vertical="center"/>
    </xf>
    <xf numFmtId="0" fontId="65" fillId="0" borderId="6" xfId="0" applyFont="1" applyFill="1" applyBorder="1" applyAlignment="1">
      <alignment horizontal="center" vertical="center"/>
    </xf>
    <xf numFmtId="0" fontId="65" fillId="0" borderId="6" xfId="0" applyFont="1" applyFill="1" applyBorder="1" applyAlignment="1">
      <alignment vertical="center" wrapText="1"/>
    </xf>
    <xf numFmtId="3" fontId="72" fillId="0" borderId="6" xfId="0" applyNumberFormat="1" applyFont="1" applyFill="1" applyBorder="1" applyAlignment="1">
      <alignment vertical="center"/>
    </xf>
    <xf numFmtId="0" fontId="72" fillId="0" borderId="0" xfId="0" applyFont="1" applyFill="1" applyAlignment="1">
      <alignment vertical="center"/>
    </xf>
    <xf numFmtId="3" fontId="72" fillId="0" borderId="0" xfId="0" applyNumberFormat="1" applyFont="1" applyFill="1" applyAlignment="1">
      <alignment vertical="center"/>
    </xf>
    <xf numFmtId="0" fontId="65" fillId="0" borderId="6" xfId="0" applyFont="1" applyFill="1" applyBorder="1" applyAlignment="1">
      <alignment horizontal="left" vertical="center" wrapText="1"/>
    </xf>
    <xf numFmtId="0" fontId="63" fillId="0" borderId="6" xfId="0" applyFont="1" applyFill="1" applyBorder="1" applyAlignment="1">
      <alignment horizontal="left" vertical="center" wrapText="1"/>
    </xf>
    <xf numFmtId="0" fontId="70" fillId="0" borderId="6" xfId="0" applyFont="1" applyFill="1" applyBorder="1" applyAlignment="1">
      <alignment horizontal="center" vertical="center"/>
    </xf>
    <xf numFmtId="2" fontId="70" fillId="0" borderId="6" xfId="0" applyNumberFormat="1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vertical="center" wrapText="1"/>
    </xf>
    <xf numFmtId="3" fontId="62" fillId="0" borderId="6" xfId="0" applyNumberFormat="1" applyFont="1" applyFill="1" applyBorder="1" applyAlignment="1">
      <alignment vertical="center"/>
    </xf>
    <xf numFmtId="0" fontId="73" fillId="0" borderId="6" xfId="0" applyFont="1" applyFill="1" applyBorder="1" applyAlignment="1">
      <alignment horizontal="center" vertical="center" wrapText="1"/>
    </xf>
    <xf numFmtId="0" fontId="73" fillId="0" borderId="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6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vertical="center"/>
    </xf>
    <xf numFmtId="3" fontId="62" fillId="0" borderId="7" xfId="0" applyNumberFormat="1" applyFont="1" applyFill="1" applyBorder="1" applyAlignment="1">
      <alignment vertical="center"/>
    </xf>
    <xf numFmtId="0" fontId="62" fillId="0" borderId="7" xfId="0" applyFont="1" applyFill="1" applyBorder="1" applyAlignment="1">
      <alignment vertical="center"/>
    </xf>
    <xf numFmtId="0" fontId="74" fillId="0" borderId="0" xfId="0" applyFont="1" applyFill="1" applyAlignment="1">
      <alignment vertical="center"/>
    </xf>
    <xf numFmtId="3" fontId="74" fillId="0" borderId="0" xfId="0" applyNumberFormat="1" applyFont="1" applyFill="1" applyAlignment="1">
      <alignment vertical="center"/>
    </xf>
    <xf numFmtId="166" fontId="74" fillId="0" borderId="0" xfId="2" applyNumberFormat="1" applyFont="1" applyFill="1" applyAlignment="1">
      <alignment vertical="center"/>
    </xf>
    <xf numFmtId="3" fontId="32" fillId="0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166" fontId="32" fillId="0" borderId="3" xfId="2" applyNumberFormat="1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 wrapText="1"/>
    </xf>
    <xf numFmtId="3" fontId="75" fillId="0" borderId="3" xfId="0" applyNumberFormat="1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left" vertical="center" wrapText="1"/>
    </xf>
    <xf numFmtId="3" fontId="32" fillId="0" borderId="5" xfId="0" applyNumberFormat="1" applyFont="1" applyFill="1" applyBorder="1" applyAlignment="1">
      <alignment vertical="center" wrapText="1"/>
    </xf>
    <xf numFmtId="3" fontId="32" fillId="0" borderId="5" xfId="0" applyNumberFormat="1" applyFont="1" applyFill="1" applyBorder="1" applyAlignment="1">
      <alignment vertical="center"/>
    </xf>
    <xf numFmtId="166" fontId="32" fillId="0" borderId="5" xfId="0" applyNumberFormat="1" applyFont="1" applyFill="1" applyBorder="1" applyAlignment="1">
      <alignment vertical="center"/>
    </xf>
    <xf numFmtId="3" fontId="32" fillId="0" borderId="5" xfId="1" applyNumberFormat="1" applyFont="1" applyFill="1" applyBorder="1" applyAlignment="1">
      <alignment horizontal="right" vertical="center" wrapText="1"/>
    </xf>
    <xf numFmtId="166" fontId="32" fillId="0" borderId="5" xfId="2" applyNumberFormat="1" applyFont="1" applyFill="1" applyBorder="1" applyAlignment="1">
      <alignment vertical="center"/>
    </xf>
    <xf numFmtId="3" fontId="33" fillId="0" borderId="6" xfId="0" applyNumberFormat="1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/>
    </xf>
    <xf numFmtId="3" fontId="33" fillId="0" borderId="6" xfId="1" applyNumberFormat="1" applyFont="1" applyFill="1" applyBorder="1" applyAlignment="1">
      <alignment horizontal="right" vertical="center"/>
    </xf>
    <xf numFmtId="3" fontId="32" fillId="0" borderId="6" xfId="1" applyNumberFormat="1" applyFont="1" applyFill="1" applyBorder="1" applyAlignment="1">
      <alignment horizontal="right" vertical="center"/>
    </xf>
    <xf numFmtId="3" fontId="74" fillId="0" borderId="0" xfId="0" applyNumberFormat="1" applyFont="1"/>
    <xf numFmtId="0" fontId="74" fillId="0" borderId="0" xfId="0" applyFont="1"/>
    <xf numFmtId="0" fontId="74" fillId="0" borderId="0" xfId="0" applyFont="1" applyAlignment="1">
      <alignment horizontal="center"/>
    </xf>
    <xf numFmtId="0" fontId="63" fillId="0" borderId="3" xfId="0" applyFont="1" applyBorder="1" applyAlignment="1">
      <alignment horizontal="center" vertical="center" wrapText="1"/>
    </xf>
    <xf numFmtId="3" fontId="63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3" fontId="77" fillId="0" borderId="0" xfId="0" applyNumberFormat="1" applyFont="1" applyAlignment="1">
      <alignment vertical="center"/>
    </xf>
    <xf numFmtId="0" fontId="70" fillId="0" borderId="5" xfId="0" applyFont="1" applyBorder="1" applyAlignment="1">
      <alignment horizontal="center" vertical="center"/>
    </xf>
    <xf numFmtId="0" fontId="70" fillId="0" borderId="5" xfId="0" applyFont="1" applyBorder="1" applyAlignment="1">
      <alignment horizontal="center" vertical="center" wrapText="1"/>
    </xf>
    <xf numFmtId="3" fontId="70" fillId="0" borderId="5" xfId="0" applyNumberFormat="1" applyFont="1" applyBorder="1" applyAlignment="1">
      <alignment vertical="center" wrapText="1"/>
    </xf>
    <xf numFmtId="3" fontId="70" fillId="2" borderId="5" xfId="0" applyNumberFormat="1" applyFont="1" applyFill="1" applyBorder="1" applyAlignment="1">
      <alignment vertical="center" wrapText="1"/>
    </xf>
    <xf numFmtId="166" fontId="77" fillId="0" borderId="0" xfId="0" applyNumberFormat="1" applyFont="1" applyAlignment="1">
      <alignment vertical="center"/>
    </xf>
    <xf numFmtId="0" fontId="77" fillId="0" borderId="0" xfId="0" applyFont="1" applyAlignment="1">
      <alignment vertical="center"/>
    </xf>
    <xf numFmtId="0" fontId="63" fillId="0" borderId="6" xfId="0" applyFont="1" applyBorder="1" applyAlignment="1">
      <alignment horizontal="center" vertical="center"/>
    </xf>
    <xf numFmtId="0" fontId="63" fillId="0" borderId="6" xfId="0" applyFont="1" applyBorder="1" applyAlignment="1">
      <alignment vertical="center" wrapText="1"/>
    </xf>
    <xf numFmtId="3" fontId="63" fillId="0" borderId="6" xfId="0" applyNumberFormat="1" applyFont="1" applyBorder="1" applyAlignment="1">
      <alignment vertical="center" wrapText="1"/>
    </xf>
    <xf numFmtId="3" fontId="63" fillId="2" borderId="6" xfId="0" applyNumberFormat="1" applyFont="1" applyFill="1" applyBorder="1" applyAlignment="1">
      <alignment vertical="center" wrapText="1"/>
    </xf>
    <xf numFmtId="0" fontId="36" fillId="0" borderId="0" xfId="0" applyFont="1" applyAlignment="1">
      <alignment vertical="center"/>
    </xf>
    <xf numFmtId="3" fontId="36" fillId="0" borderId="0" xfId="0" applyNumberFormat="1" applyFont="1" applyAlignment="1">
      <alignment vertical="center"/>
    </xf>
    <xf numFmtId="0" fontId="15" fillId="0" borderId="6" xfId="3" applyNumberFormat="1" applyFont="1" applyFill="1" applyBorder="1" applyAlignment="1">
      <alignment horizontal="center" vertical="center"/>
    </xf>
    <xf numFmtId="0" fontId="15" fillId="0" borderId="6" xfId="0" applyFont="1" applyBorder="1"/>
    <xf numFmtId="3" fontId="15" fillId="0" borderId="6" xfId="0" applyNumberFormat="1" applyFont="1" applyBorder="1" applyAlignment="1">
      <alignment vertical="center" wrapText="1"/>
    </xf>
    <xf numFmtId="3" fontId="15" fillId="2" borderId="6" xfId="0" applyNumberFormat="1" applyFont="1" applyFill="1" applyBorder="1" applyAlignment="1">
      <alignment vertical="center" wrapText="1"/>
    </xf>
    <xf numFmtId="0" fontId="65" fillId="0" borderId="6" xfId="3" applyNumberFormat="1" applyFont="1" applyFill="1" applyBorder="1" applyAlignment="1">
      <alignment horizontal="center" vertical="center"/>
    </xf>
    <xf numFmtId="0" fontId="65" fillId="0" borderId="6" xfId="0" applyFont="1" applyBorder="1"/>
    <xf numFmtId="3" fontId="65" fillId="0" borderId="6" xfId="0" applyNumberFormat="1" applyFont="1" applyBorder="1" applyAlignment="1">
      <alignment vertical="center" wrapText="1"/>
    </xf>
    <xf numFmtId="3" fontId="65" fillId="2" borderId="6" xfId="0" applyNumberFormat="1" applyFont="1" applyFill="1" applyBorder="1" applyAlignment="1">
      <alignment vertical="center" wrapText="1"/>
    </xf>
    <xf numFmtId="165" fontId="15" fillId="2" borderId="6" xfId="3" quotePrefix="1" applyNumberFormat="1" applyFont="1" applyFill="1" applyBorder="1" applyAlignment="1">
      <alignment horizontal="right" vertical="center"/>
    </xf>
    <xf numFmtId="49" fontId="15" fillId="0" borderId="6" xfId="3" applyNumberFormat="1" applyFont="1" applyBorder="1" applyAlignment="1">
      <alignment vertical="center" wrapText="1"/>
    </xf>
    <xf numFmtId="0" fontId="15" fillId="2" borderId="6" xfId="3" applyNumberFormat="1" applyFont="1" applyFill="1" applyBorder="1" applyAlignment="1">
      <alignment horizontal="center" vertical="center"/>
    </xf>
    <xf numFmtId="165" fontId="15" fillId="2" borderId="6" xfId="3" applyNumberFormat="1" applyFont="1" applyFill="1" applyBorder="1" applyAlignment="1">
      <alignment vertical="center"/>
    </xf>
    <xf numFmtId="0" fontId="15" fillId="2" borderId="6" xfId="0" applyFont="1" applyFill="1" applyBorder="1"/>
    <xf numFmtId="0" fontId="65" fillId="2" borderId="6" xfId="0" applyFont="1" applyFill="1" applyBorder="1"/>
    <xf numFmtId="165" fontId="65" fillId="2" borderId="6" xfId="3" quotePrefix="1" applyNumberFormat="1" applyFont="1" applyFill="1" applyBorder="1" applyAlignment="1">
      <alignment horizontal="right" vertical="center"/>
    </xf>
    <xf numFmtId="3" fontId="40" fillId="0" borderId="0" xfId="0" applyNumberFormat="1" applyFont="1" applyAlignment="1">
      <alignment vertical="center"/>
    </xf>
    <xf numFmtId="0" fontId="9" fillId="2" borderId="0" xfId="0" applyFont="1" applyFill="1" applyAlignment="1">
      <alignment vertical="center"/>
    </xf>
    <xf numFmtId="0" fontId="40" fillId="2" borderId="0" xfId="0" applyFont="1" applyFill="1" applyAlignment="1">
      <alignment vertical="center"/>
    </xf>
    <xf numFmtId="0" fontId="15" fillId="0" borderId="6" xfId="0" applyFont="1" applyFill="1" applyBorder="1" applyAlignment="1"/>
    <xf numFmtId="0" fontId="63" fillId="0" borderId="6" xfId="3" applyNumberFormat="1" applyFont="1" applyFill="1" applyBorder="1" applyAlignment="1">
      <alignment horizontal="center" vertical="center"/>
    </xf>
    <xf numFmtId="0" fontId="63" fillId="0" borderId="6" xfId="0" applyFont="1" applyFill="1" applyBorder="1" applyAlignment="1"/>
    <xf numFmtId="165" fontId="63" fillId="2" borderId="6" xfId="3" applyNumberFormat="1" applyFont="1" applyFill="1" applyBorder="1" applyAlignment="1">
      <alignment vertical="center"/>
    </xf>
    <xf numFmtId="166" fontId="36" fillId="0" borderId="0" xfId="0" applyNumberFormat="1" applyFont="1" applyAlignment="1">
      <alignment vertical="center"/>
    </xf>
    <xf numFmtId="49" fontId="63" fillId="0" borderId="6" xfId="3" applyNumberFormat="1" applyFont="1" applyBorder="1" applyAlignment="1">
      <alignment vertical="center" wrapText="1"/>
    </xf>
    <xf numFmtId="165" fontId="15" fillId="0" borderId="6" xfId="3" quotePrefix="1" applyNumberFormat="1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 wrapText="1"/>
    </xf>
    <xf numFmtId="3" fontId="67" fillId="0" borderId="1" xfId="0" applyNumberFormat="1" applyFont="1" applyFill="1" applyBorder="1" applyAlignment="1">
      <alignment horizontal="right" vertical="center"/>
    </xf>
    <xf numFmtId="0" fontId="32" fillId="0" borderId="3" xfId="0" applyFont="1" applyFill="1" applyBorder="1" applyAlignment="1">
      <alignment horizontal="center" vertical="center" wrapText="1"/>
    </xf>
    <xf numFmtId="3" fontId="32" fillId="0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/>
    </xf>
    <xf numFmtId="166" fontId="32" fillId="0" borderId="3" xfId="2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/>
    </xf>
    <xf numFmtId="0" fontId="63" fillId="0" borderId="0" xfId="0" applyFont="1" applyAlignment="1">
      <alignment horizontal="right"/>
    </xf>
    <xf numFmtId="0" fontId="64" fillId="0" borderId="0" xfId="0" applyFont="1" applyAlignment="1">
      <alignment horizontal="center" vertical="center" wrapText="1"/>
    </xf>
    <xf numFmtId="0" fontId="64" fillId="0" borderId="0" xfId="0" applyFont="1" applyAlignment="1">
      <alignment horizontal="center" vertical="center"/>
    </xf>
    <xf numFmtId="0" fontId="65" fillId="0" borderId="1" xfId="0" applyFont="1" applyBorder="1" applyAlignment="1">
      <alignment horizontal="right"/>
    </xf>
    <xf numFmtId="0" fontId="63" fillId="0" borderId="2" xfId="0" applyFont="1" applyBorder="1" applyAlignment="1">
      <alignment horizontal="center" vertical="center" wrapText="1"/>
    </xf>
    <xf numFmtId="0" fontId="63" fillId="0" borderId="4" xfId="0" applyFont="1" applyBorder="1" applyAlignment="1">
      <alignment horizontal="center" vertical="center"/>
    </xf>
    <xf numFmtId="0" fontId="63" fillId="0" borderId="4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0" fontId="72" fillId="0" borderId="0" xfId="0" applyFont="1" applyFill="1" applyAlignment="1">
      <alignment horizontal="left" vertical="center"/>
    </xf>
    <xf numFmtId="3" fontId="63" fillId="0" borderId="3" xfId="0" applyNumberFormat="1" applyFont="1" applyFill="1" applyBorder="1" applyAlignment="1">
      <alignment horizontal="center" vertical="center" wrapText="1"/>
    </xf>
    <xf numFmtId="3" fontId="63" fillId="0" borderId="0" xfId="0" applyNumberFormat="1" applyFont="1" applyFill="1" applyAlignment="1">
      <alignment horizontal="right" vertical="top" wrapText="1"/>
    </xf>
    <xf numFmtId="167" fontId="64" fillId="0" borderId="0" xfId="0" applyNumberFormat="1" applyFont="1" applyFill="1" applyAlignment="1">
      <alignment horizontal="center" wrapText="1"/>
    </xf>
    <xf numFmtId="167" fontId="64" fillId="0" borderId="0" xfId="0" applyNumberFormat="1" applyFont="1" applyFill="1" applyAlignment="1">
      <alignment horizontal="center"/>
    </xf>
    <xf numFmtId="0" fontId="63" fillId="0" borderId="3" xfId="0" applyFont="1" applyFill="1" applyBorder="1" applyAlignment="1">
      <alignment horizontal="center" vertical="center" wrapText="1"/>
    </xf>
    <xf numFmtId="10" fontId="63" fillId="0" borderId="3" xfId="0" applyNumberFormat="1" applyFont="1" applyFill="1" applyBorder="1" applyAlignment="1">
      <alignment horizontal="center" vertical="center"/>
    </xf>
    <xf numFmtId="3" fontId="63" fillId="0" borderId="3" xfId="0" applyNumberFormat="1" applyFont="1" applyFill="1" applyBorder="1" applyAlignment="1">
      <alignment horizontal="center" vertical="center"/>
    </xf>
    <xf numFmtId="0" fontId="8" fillId="0" borderId="0" xfId="8" applyFont="1" applyBorder="1" applyAlignment="1">
      <alignment horizontal="right" vertical="top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8" fillId="2" borderId="13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readingOrder="1"/>
    </xf>
    <xf numFmtId="0" fontId="8" fillId="2" borderId="11" xfId="0" applyFont="1" applyFill="1" applyBorder="1" applyAlignment="1">
      <alignment horizontal="center" vertical="center" readingOrder="1"/>
    </xf>
    <xf numFmtId="0" fontId="8" fillId="2" borderId="12" xfId="0" applyFont="1" applyFill="1" applyBorder="1" applyAlignment="1">
      <alignment horizontal="center" vertical="center" readingOrder="1"/>
    </xf>
    <xf numFmtId="10" fontId="8" fillId="2" borderId="2" xfId="0" applyNumberFormat="1" applyFont="1" applyFill="1" applyBorder="1" applyAlignment="1">
      <alignment horizontal="center" vertical="center" wrapText="1"/>
    </xf>
    <xf numFmtId="10" fontId="8" fillId="2" borderId="13" xfId="0" applyNumberFormat="1" applyFont="1" applyFill="1" applyBorder="1" applyAlignment="1">
      <alignment horizontal="center" vertical="center" wrapText="1"/>
    </xf>
    <xf numFmtId="10" fontId="8" fillId="2" borderId="4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</cellXfs>
  <cellStyles count="9">
    <cellStyle name="Comma" xfId="1" builtinId="3"/>
    <cellStyle name="dtchi98" xfId="7"/>
    <cellStyle name="dtchi98c" xfId="6"/>
    <cellStyle name="Normal" xfId="0" builtinId="0"/>
    <cellStyle name="Normal 2 2 2" xfId="5"/>
    <cellStyle name="Normal 3" xfId="4"/>
    <cellStyle name="Normal 4" xfId="8"/>
    <cellStyle name="Normal_Mau giao thu (Bo)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&#7921;%20to&#225;n%20ng&#226;n%20s&#225;ch\KH%202021.2023\06112020.Phu%20bieu%20kem%20BC%20KH%20TCNS%202020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Sheet4"/>
      <sheetName val="02"/>
      <sheetName val="03"/>
      <sheetName val="Sheet1"/>
      <sheetName val="Sheet2"/>
      <sheetName val="04"/>
      <sheetName val="QT2019.Vay"/>
      <sheetName val="DT2020"/>
      <sheetName val="Sheet3"/>
      <sheetName val="1.03.0511"/>
      <sheetName val="1.04.0511"/>
    </sheetNames>
    <sheetDataSet>
      <sheetData sheetId="0"/>
      <sheetData sheetId="1"/>
      <sheetData sheetId="2"/>
      <sheetData sheetId="3"/>
      <sheetData sheetId="4">
        <row r="8">
          <cell r="F8">
            <v>13152351.028573405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3"/>
  <sheetViews>
    <sheetView topLeftCell="A2" zoomScaleNormal="100" workbookViewId="0">
      <pane xSplit="2" ySplit="5" topLeftCell="C7" activePane="bottomRight" state="frozen"/>
      <selection activeCell="A2" sqref="A2"/>
      <selection pane="topRight" activeCell="C2" sqref="C2"/>
      <selection pane="bottomLeft" activeCell="A7" sqref="A7"/>
      <selection pane="bottomRight" activeCell="J23" sqref="J23"/>
    </sheetView>
  </sheetViews>
  <sheetFormatPr defaultRowHeight="15"/>
  <cols>
    <col min="1" max="1" width="4" style="138" customWidth="1"/>
    <col min="2" max="2" width="35.7109375" style="138" customWidth="1"/>
    <col min="3" max="3" width="10.28515625" style="142" customWidth="1"/>
    <col min="4" max="4" width="10.5703125" style="142" customWidth="1"/>
    <col min="5" max="5" width="9.7109375" style="142" customWidth="1"/>
    <col min="6" max="6" width="9.140625" style="142"/>
    <col min="7" max="7" width="10.140625" style="143" customWidth="1"/>
    <col min="8" max="10" width="12.7109375" style="143" customWidth="1"/>
    <col min="11" max="11" width="9.28515625" style="136" customWidth="1"/>
    <col min="12" max="12" width="8.42578125" style="136" customWidth="1"/>
    <col min="13" max="13" width="7.7109375" style="136" customWidth="1"/>
    <col min="14" max="14" width="10.140625" style="138" customWidth="1"/>
    <col min="15" max="16" width="9" style="138" customWidth="1"/>
    <col min="17" max="256" width="9.140625" style="138"/>
    <col min="257" max="257" width="5.5703125" style="138" customWidth="1"/>
    <col min="258" max="258" width="42.85546875" style="138" customWidth="1"/>
    <col min="259" max="260" width="10.28515625" style="138" customWidth="1"/>
    <col min="261" max="262" width="9.28515625" style="138" customWidth="1"/>
    <col min="263" max="263" width="11.85546875" style="138" customWidth="1"/>
    <col min="264" max="266" width="11.7109375" style="138" customWidth="1"/>
    <col min="267" max="269" width="9" style="138" customWidth="1"/>
    <col min="270" max="270" width="10.28515625" style="138" customWidth="1"/>
    <col min="271" max="271" width="9.85546875" style="138" customWidth="1"/>
    <col min="272" max="272" width="8.85546875" style="138" customWidth="1"/>
    <col min="273" max="512" width="9.140625" style="138"/>
    <col min="513" max="513" width="5.5703125" style="138" customWidth="1"/>
    <col min="514" max="514" width="42.85546875" style="138" customWidth="1"/>
    <col min="515" max="516" width="10.28515625" style="138" customWidth="1"/>
    <col min="517" max="518" width="9.28515625" style="138" customWidth="1"/>
    <col min="519" max="519" width="11.85546875" style="138" customWidth="1"/>
    <col min="520" max="522" width="11.7109375" style="138" customWidth="1"/>
    <col min="523" max="525" width="9" style="138" customWidth="1"/>
    <col min="526" max="526" width="10.28515625" style="138" customWidth="1"/>
    <col min="527" max="527" width="9.85546875" style="138" customWidth="1"/>
    <col min="528" max="528" width="8.85546875" style="138" customWidth="1"/>
    <col min="529" max="768" width="9.140625" style="138"/>
    <col min="769" max="769" width="5.5703125" style="138" customWidth="1"/>
    <col min="770" max="770" width="42.85546875" style="138" customWidth="1"/>
    <col min="771" max="772" width="10.28515625" style="138" customWidth="1"/>
    <col min="773" max="774" width="9.28515625" style="138" customWidth="1"/>
    <col min="775" max="775" width="11.85546875" style="138" customWidth="1"/>
    <col min="776" max="778" width="11.7109375" style="138" customWidth="1"/>
    <col min="779" max="781" width="9" style="138" customWidth="1"/>
    <col min="782" max="782" width="10.28515625" style="138" customWidth="1"/>
    <col min="783" max="783" width="9.85546875" style="138" customWidth="1"/>
    <col min="784" max="784" width="8.85546875" style="138" customWidth="1"/>
    <col min="785" max="1024" width="9.140625" style="138"/>
    <col min="1025" max="1025" width="5.5703125" style="138" customWidth="1"/>
    <col min="1026" max="1026" width="42.85546875" style="138" customWidth="1"/>
    <col min="1027" max="1028" width="10.28515625" style="138" customWidth="1"/>
    <col min="1029" max="1030" width="9.28515625" style="138" customWidth="1"/>
    <col min="1031" max="1031" width="11.85546875" style="138" customWidth="1"/>
    <col min="1032" max="1034" width="11.7109375" style="138" customWidth="1"/>
    <col min="1035" max="1037" width="9" style="138" customWidth="1"/>
    <col min="1038" max="1038" width="10.28515625" style="138" customWidth="1"/>
    <col min="1039" max="1039" width="9.85546875" style="138" customWidth="1"/>
    <col min="1040" max="1040" width="8.85546875" style="138" customWidth="1"/>
    <col min="1041" max="1280" width="9.140625" style="138"/>
    <col min="1281" max="1281" width="5.5703125" style="138" customWidth="1"/>
    <col min="1282" max="1282" width="42.85546875" style="138" customWidth="1"/>
    <col min="1283" max="1284" width="10.28515625" style="138" customWidth="1"/>
    <col min="1285" max="1286" width="9.28515625" style="138" customWidth="1"/>
    <col min="1287" max="1287" width="11.85546875" style="138" customWidth="1"/>
    <col min="1288" max="1290" width="11.7109375" style="138" customWidth="1"/>
    <col min="1291" max="1293" width="9" style="138" customWidth="1"/>
    <col min="1294" max="1294" width="10.28515625" style="138" customWidth="1"/>
    <col min="1295" max="1295" width="9.85546875" style="138" customWidth="1"/>
    <col min="1296" max="1296" width="8.85546875" style="138" customWidth="1"/>
    <col min="1297" max="1536" width="9.140625" style="138"/>
    <col min="1537" max="1537" width="5.5703125" style="138" customWidth="1"/>
    <col min="1538" max="1538" width="42.85546875" style="138" customWidth="1"/>
    <col min="1539" max="1540" width="10.28515625" style="138" customWidth="1"/>
    <col min="1541" max="1542" width="9.28515625" style="138" customWidth="1"/>
    <col min="1543" max="1543" width="11.85546875" style="138" customWidth="1"/>
    <col min="1544" max="1546" width="11.7109375" style="138" customWidth="1"/>
    <col min="1547" max="1549" width="9" style="138" customWidth="1"/>
    <col min="1550" max="1550" width="10.28515625" style="138" customWidth="1"/>
    <col min="1551" max="1551" width="9.85546875" style="138" customWidth="1"/>
    <col min="1552" max="1552" width="8.85546875" style="138" customWidth="1"/>
    <col min="1553" max="1792" width="9.140625" style="138"/>
    <col min="1793" max="1793" width="5.5703125" style="138" customWidth="1"/>
    <col min="1794" max="1794" width="42.85546875" style="138" customWidth="1"/>
    <col min="1795" max="1796" width="10.28515625" style="138" customWidth="1"/>
    <col min="1797" max="1798" width="9.28515625" style="138" customWidth="1"/>
    <col min="1799" max="1799" width="11.85546875" style="138" customWidth="1"/>
    <col min="1800" max="1802" width="11.7109375" style="138" customWidth="1"/>
    <col min="1803" max="1805" width="9" style="138" customWidth="1"/>
    <col min="1806" max="1806" width="10.28515625" style="138" customWidth="1"/>
    <col min="1807" max="1807" width="9.85546875" style="138" customWidth="1"/>
    <col min="1808" max="1808" width="8.85546875" style="138" customWidth="1"/>
    <col min="1809" max="2048" width="9.140625" style="138"/>
    <col min="2049" max="2049" width="5.5703125" style="138" customWidth="1"/>
    <col min="2050" max="2050" width="42.85546875" style="138" customWidth="1"/>
    <col min="2051" max="2052" width="10.28515625" style="138" customWidth="1"/>
    <col min="2053" max="2054" width="9.28515625" style="138" customWidth="1"/>
    <col min="2055" max="2055" width="11.85546875" style="138" customWidth="1"/>
    <col min="2056" max="2058" width="11.7109375" style="138" customWidth="1"/>
    <col min="2059" max="2061" width="9" style="138" customWidth="1"/>
    <col min="2062" max="2062" width="10.28515625" style="138" customWidth="1"/>
    <col min="2063" max="2063" width="9.85546875" style="138" customWidth="1"/>
    <col min="2064" max="2064" width="8.85546875" style="138" customWidth="1"/>
    <col min="2065" max="2304" width="9.140625" style="138"/>
    <col min="2305" max="2305" width="5.5703125" style="138" customWidth="1"/>
    <col min="2306" max="2306" width="42.85546875" style="138" customWidth="1"/>
    <col min="2307" max="2308" width="10.28515625" style="138" customWidth="1"/>
    <col min="2309" max="2310" width="9.28515625" style="138" customWidth="1"/>
    <col min="2311" max="2311" width="11.85546875" style="138" customWidth="1"/>
    <col min="2312" max="2314" width="11.7109375" style="138" customWidth="1"/>
    <col min="2315" max="2317" width="9" style="138" customWidth="1"/>
    <col min="2318" max="2318" width="10.28515625" style="138" customWidth="1"/>
    <col min="2319" max="2319" width="9.85546875" style="138" customWidth="1"/>
    <col min="2320" max="2320" width="8.85546875" style="138" customWidth="1"/>
    <col min="2321" max="2560" width="9.140625" style="138"/>
    <col min="2561" max="2561" width="5.5703125" style="138" customWidth="1"/>
    <col min="2562" max="2562" width="42.85546875" style="138" customWidth="1"/>
    <col min="2563" max="2564" width="10.28515625" style="138" customWidth="1"/>
    <col min="2565" max="2566" width="9.28515625" style="138" customWidth="1"/>
    <col min="2567" max="2567" width="11.85546875" style="138" customWidth="1"/>
    <col min="2568" max="2570" width="11.7109375" style="138" customWidth="1"/>
    <col min="2571" max="2573" width="9" style="138" customWidth="1"/>
    <col min="2574" max="2574" width="10.28515625" style="138" customWidth="1"/>
    <col min="2575" max="2575" width="9.85546875" style="138" customWidth="1"/>
    <col min="2576" max="2576" width="8.85546875" style="138" customWidth="1"/>
    <col min="2577" max="2816" width="9.140625" style="138"/>
    <col min="2817" max="2817" width="5.5703125" style="138" customWidth="1"/>
    <col min="2818" max="2818" width="42.85546875" style="138" customWidth="1"/>
    <col min="2819" max="2820" width="10.28515625" style="138" customWidth="1"/>
    <col min="2821" max="2822" width="9.28515625" style="138" customWidth="1"/>
    <col min="2823" max="2823" width="11.85546875" style="138" customWidth="1"/>
    <col min="2824" max="2826" width="11.7109375" style="138" customWidth="1"/>
    <col min="2827" max="2829" width="9" style="138" customWidth="1"/>
    <col min="2830" max="2830" width="10.28515625" style="138" customWidth="1"/>
    <col min="2831" max="2831" width="9.85546875" style="138" customWidth="1"/>
    <col min="2832" max="2832" width="8.85546875" style="138" customWidth="1"/>
    <col min="2833" max="3072" width="9.140625" style="138"/>
    <col min="3073" max="3073" width="5.5703125" style="138" customWidth="1"/>
    <col min="3074" max="3074" width="42.85546875" style="138" customWidth="1"/>
    <col min="3075" max="3076" width="10.28515625" style="138" customWidth="1"/>
    <col min="3077" max="3078" width="9.28515625" style="138" customWidth="1"/>
    <col min="3079" max="3079" width="11.85546875" style="138" customWidth="1"/>
    <col min="3080" max="3082" width="11.7109375" style="138" customWidth="1"/>
    <col min="3083" max="3085" width="9" style="138" customWidth="1"/>
    <col min="3086" max="3086" width="10.28515625" style="138" customWidth="1"/>
    <col min="3087" max="3087" width="9.85546875" style="138" customWidth="1"/>
    <col min="3088" max="3088" width="8.85546875" style="138" customWidth="1"/>
    <col min="3089" max="3328" width="9.140625" style="138"/>
    <col min="3329" max="3329" width="5.5703125" style="138" customWidth="1"/>
    <col min="3330" max="3330" width="42.85546875" style="138" customWidth="1"/>
    <col min="3331" max="3332" width="10.28515625" style="138" customWidth="1"/>
    <col min="3333" max="3334" width="9.28515625" style="138" customWidth="1"/>
    <col min="3335" max="3335" width="11.85546875" style="138" customWidth="1"/>
    <col min="3336" max="3338" width="11.7109375" style="138" customWidth="1"/>
    <col min="3339" max="3341" width="9" style="138" customWidth="1"/>
    <col min="3342" max="3342" width="10.28515625" style="138" customWidth="1"/>
    <col min="3343" max="3343" width="9.85546875" style="138" customWidth="1"/>
    <col min="3344" max="3344" width="8.85546875" style="138" customWidth="1"/>
    <col min="3345" max="3584" width="9.140625" style="138"/>
    <col min="3585" max="3585" width="5.5703125" style="138" customWidth="1"/>
    <col min="3586" max="3586" width="42.85546875" style="138" customWidth="1"/>
    <col min="3587" max="3588" width="10.28515625" style="138" customWidth="1"/>
    <col min="3589" max="3590" width="9.28515625" style="138" customWidth="1"/>
    <col min="3591" max="3591" width="11.85546875" style="138" customWidth="1"/>
    <col min="3592" max="3594" width="11.7109375" style="138" customWidth="1"/>
    <col min="3595" max="3597" width="9" style="138" customWidth="1"/>
    <col min="3598" max="3598" width="10.28515625" style="138" customWidth="1"/>
    <col min="3599" max="3599" width="9.85546875" style="138" customWidth="1"/>
    <col min="3600" max="3600" width="8.85546875" style="138" customWidth="1"/>
    <col min="3601" max="3840" width="9.140625" style="138"/>
    <col min="3841" max="3841" width="5.5703125" style="138" customWidth="1"/>
    <col min="3842" max="3842" width="42.85546875" style="138" customWidth="1"/>
    <col min="3843" max="3844" width="10.28515625" style="138" customWidth="1"/>
    <col min="3845" max="3846" width="9.28515625" style="138" customWidth="1"/>
    <col min="3847" max="3847" width="11.85546875" style="138" customWidth="1"/>
    <col min="3848" max="3850" width="11.7109375" style="138" customWidth="1"/>
    <col min="3851" max="3853" width="9" style="138" customWidth="1"/>
    <col min="3854" max="3854" width="10.28515625" style="138" customWidth="1"/>
    <col min="3855" max="3855" width="9.85546875" style="138" customWidth="1"/>
    <col min="3856" max="3856" width="8.85546875" style="138" customWidth="1"/>
    <col min="3857" max="4096" width="9.140625" style="138"/>
    <col min="4097" max="4097" width="5.5703125" style="138" customWidth="1"/>
    <col min="4098" max="4098" width="42.85546875" style="138" customWidth="1"/>
    <col min="4099" max="4100" width="10.28515625" style="138" customWidth="1"/>
    <col min="4101" max="4102" width="9.28515625" style="138" customWidth="1"/>
    <col min="4103" max="4103" width="11.85546875" style="138" customWidth="1"/>
    <col min="4104" max="4106" width="11.7109375" style="138" customWidth="1"/>
    <col min="4107" max="4109" width="9" style="138" customWidth="1"/>
    <col min="4110" max="4110" width="10.28515625" style="138" customWidth="1"/>
    <col min="4111" max="4111" width="9.85546875" style="138" customWidth="1"/>
    <col min="4112" max="4112" width="8.85546875" style="138" customWidth="1"/>
    <col min="4113" max="4352" width="9.140625" style="138"/>
    <col min="4353" max="4353" width="5.5703125" style="138" customWidth="1"/>
    <col min="4354" max="4354" width="42.85546875" style="138" customWidth="1"/>
    <col min="4355" max="4356" width="10.28515625" style="138" customWidth="1"/>
    <col min="4357" max="4358" width="9.28515625" style="138" customWidth="1"/>
    <col min="4359" max="4359" width="11.85546875" style="138" customWidth="1"/>
    <col min="4360" max="4362" width="11.7109375" style="138" customWidth="1"/>
    <col min="4363" max="4365" width="9" style="138" customWidth="1"/>
    <col min="4366" max="4366" width="10.28515625" style="138" customWidth="1"/>
    <col min="4367" max="4367" width="9.85546875" style="138" customWidth="1"/>
    <col min="4368" max="4368" width="8.85546875" style="138" customWidth="1"/>
    <col min="4369" max="4608" width="9.140625" style="138"/>
    <col min="4609" max="4609" width="5.5703125" style="138" customWidth="1"/>
    <col min="4610" max="4610" width="42.85546875" style="138" customWidth="1"/>
    <col min="4611" max="4612" width="10.28515625" style="138" customWidth="1"/>
    <col min="4613" max="4614" width="9.28515625" style="138" customWidth="1"/>
    <col min="4615" max="4615" width="11.85546875" style="138" customWidth="1"/>
    <col min="4616" max="4618" width="11.7109375" style="138" customWidth="1"/>
    <col min="4619" max="4621" width="9" style="138" customWidth="1"/>
    <col min="4622" max="4622" width="10.28515625" style="138" customWidth="1"/>
    <col min="4623" max="4623" width="9.85546875" style="138" customWidth="1"/>
    <col min="4624" max="4624" width="8.85546875" style="138" customWidth="1"/>
    <col min="4625" max="4864" width="9.140625" style="138"/>
    <col min="4865" max="4865" width="5.5703125" style="138" customWidth="1"/>
    <col min="4866" max="4866" width="42.85546875" style="138" customWidth="1"/>
    <col min="4867" max="4868" width="10.28515625" style="138" customWidth="1"/>
    <col min="4869" max="4870" width="9.28515625" style="138" customWidth="1"/>
    <col min="4871" max="4871" width="11.85546875" style="138" customWidth="1"/>
    <col min="4872" max="4874" width="11.7109375" style="138" customWidth="1"/>
    <col min="4875" max="4877" width="9" style="138" customWidth="1"/>
    <col min="4878" max="4878" width="10.28515625" style="138" customWidth="1"/>
    <col min="4879" max="4879" width="9.85546875" style="138" customWidth="1"/>
    <col min="4880" max="4880" width="8.85546875" style="138" customWidth="1"/>
    <col min="4881" max="5120" width="9.140625" style="138"/>
    <col min="5121" max="5121" width="5.5703125" style="138" customWidth="1"/>
    <col min="5122" max="5122" width="42.85546875" style="138" customWidth="1"/>
    <col min="5123" max="5124" width="10.28515625" style="138" customWidth="1"/>
    <col min="5125" max="5126" width="9.28515625" style="138" customWidth="1"/>
    <col min="5127" max="5127" width="11.85546875" style="138" customWidth="1"/>
    <col min="5128" max="5130" width="11.7109375" style="138" customWidth="1"/>
    <col min="5131" max="5133" width="9" style="138" customWidth="1"/>
    <col min="5134" max="5134" width="10.28515625" style="138" customWidth="1"/>
    <col min="5135" max="5135" width="9.85546875" style="138" customWidth="1"/>
    <col min="5136" max="5136" width="8.85546875" style="138" customWidth="1"/>
    <col min="5137" max="5376" width="9.140625" style="138"/>
    <col min="5377" max="5377" width="5.5703125" style="138" customWidth="1"/>
    <col min="5378" max="5378" width="42.85546875" style="138" customWidth="1"/>
    <col min="5379" max="5380" width="10.28515625" style="138" customWidth="1"/>
    <col min="5381" max="5382" width="9.28515625" style="138" customWidth="1"/>
    <col min="5383" max="5383" width="11.85546875" style="138" customWidth="1"/>
    <col min="5384" max="5386" width="11.7109375" style="138" customWidth="1"/>
    <col min="5387" max="5389" width="9" style="138" customWidth="1"/>
    <col min="5390" max="5390" width="10.28515625" style="138" customWidth="1"/>
    <col min="5391" max="5391" width="9.85546875" style="138" customWidth="1"/>
    <col min="5392" max="5392" width="8.85546875" style="138" customWidth="1"/>
    <col min="5393" max="5632" width="9.140625" style="138"/>
    <col min="5633" max="5633" width="5.5703125" style="138" customWidth="1"/>
    <col min="5634" max="5634" width="42.85546875" style="138" customWidth="1"/>
    <col min="5635" max="5636" width="10.28515625" style="138" customWidth="1"/>
    <col min="5637" max="5638" width="9.28515625" style="138" customWidth="1"/>
    <col min="5639" max="5639" width="11.85546875" style="138" customWidth="1"/>
    <col min="5640" max="5642" width="11.7109375" style="138" customWidth="1"/>
    <col min="5643" max="5645" width="9" style="138" customWidth="1"/>
    <col min="5646" max="5646" width="10.28515625" style="138" customWidth="1"/>
    <col min="5647" max="5647" width="9.85546875" style="138" customWidth="1"/>
    <col min="5648" max="5648" width="8.85546875" style="138" customWidth="1"/>
    <col min="5649" max="5888" width="9.140625" style="138"/>
    <col min="5889" max="5889" width="5.5703125" style="138" customWidth="1"/>
    <col min="5890" max="5890" width="42.85546875" style="138" customWidth="1"/>
    <col min="5891" max="5892" width="10.28515625" style="138" customWidth="1"/>
    <col min="5893" max="5894" width="9.28515625" style="138" customWidth="1"/>
    <col min="5895" max="5895" width="11.85546875" style="138" customWidth="1"/>
    <col min="5896" max="5898" width="11.7109375" style="138" customWidth="1"/>
    <col min="5899" max="5901" width="9" style="138" customWidth="1"/>
    <col min="5902" max="5902" width="10.28515625" style="138" customWidth="1"/>
    <col min="5903" max="5903" width="9.85546875" style="138" customWidth="1"/>
    <col min="5904" max="5904" width="8.85546875" style="138" customWidth="1"/>
    <col min="5905" max="6144" width="9.140625" style="138"/>
    <col min="6145" max="6145" width="5.5703125" style="138" customWidth="1"/>
    <col min="6146" max="6146" width="42.85546875" style="138" customWidth="1"/>
    <col min="6147" max="6148" width="10.28515625" style="138" customWidth="1"/>
    <col min="6149" max="6150" width="9.28515625" style="138" customWidth="1"/>
    <col min="6151" max="6151" width="11.85546875" style="138" customWidth="1"/>
    <col min="6152" max="6154" width="11.7109375" style="138" customWidth="1"/>
    <col min="6155" max="6157" width="9" style="138" customWidth="1"/>
    <col min="6158" max="6158" width="10.28515625" style="138" customWidth="1"/>
    <col min="6159" max="6159" width="9.85546875" style="138" customWidth="1"/>
    <col min="6160" max="6160" width="8.85546875" style="138" customWidth="1"/>
    <col min="6161" max="6400" width="9.140625" style="138"/>
    <col min="6401" max="6401" width="5.5703125" style="138" customWidth="1"/>
    <col min="6402" max="6402" width="42.85546875" style="138" customWidth="1"/>
    <col min="6403" max="6404" width="10.28515625" style="138" customWidth="1"/>
    <col min="6405" max="6406" width="9.28515625" style="138" customWidth="1"/>
    <col min="6407" max="6407" width="11.85546875" style="138" customWidth="1"/>
    <col min="6408" max="6410" width="11.7109375" style="138" customWidth="1"/>
    <col min="6411" max="6413" width="9" style="138" customWidth="1"/>
    <col min="6414" max="6414" width="10.28515625" style="138" customWidth="1"/>
    <col min="6415" max="6415" width="9.85546875" style="138" customWidth="1"/>
    <col min="6416" max="6416" width="8.85546875" style="138" customWidth="1"/>
    <col min="6417" max="6656" width="9.140625" style="138"/>
    <col min="6657" max="6657" width="5.5703125" style="138" customWidth="1"/>
    <col min="6658" max="6658" width="42.85546875" style="138" customWidth="1"/>
    <col min="6659" max="6660" width="10.28515625" style="138" customWidth="1"/>
    <col min="6661" max="6662" width="9.28515625" style="138" customWidth="1"/>
    <col min="6663" max="6663" width="11.85546875" style="138" customWidth="1"/>
    <col min="6664" max="6666" width="11.7109375" style="138" customWidth="1"/>
    <col min="6667" max="6669" width="9" style="138" customWidth="1"/>
    <col min="6670" max="6670" width="10.28515625" style="138" customWidth="1"/>
    <col min="6671" max="6671" width="9.85546875" style="138" customWidth="1"/>
    <col min="6672" max="6672" width="8.85546875" style="138" customWidth="1"/>
    <col min="6673" max="6912" width="9.140625" style="138"/>
    <col min="6913" max="6913" width="5.5703125" style="138" customWidth="1"/>
    <col min="6914" max="6914" width="42.85546875" style="138" customWidth="1"/>
    <col min="6915" max="6916" width="10.28515625" style="138" customWidth="1"/>
    <col min="6917" max="6918" width="9.28515625" style="138" customWidth="1"/>
    <col min="6919" max="6919" width="11.85546875" style="138" customWidth="1"/>
    <col min="6920" max="6922" width="11.7109375" style="138" customWidth="1"/>
    <col min="6923" max="6925" width="9" style="138" customWidth="1"/>
    <col min="6926" max="6926" width="10.28515625" style="138" customWidth="1"/>
    <col min="6927" max="6927" width="9.85546875" style="138" customWidth="1"/>
    <col min="6928" max="6928" width="8.85546875" style="138" customWidth="1"/>
    <col min="6929" max="7168" width="9.140625" style="138"/>
    <col min="7169" max="7169" width="5.5703125" style="138" customWidth="1"/>
    <col min="7170" max="7170" width="42.85546875" style="138" customWidth="1"/>
    <col min="7171" max="7172" width="10.28515625" style="138" customWidth="1"/>
    <col min="7173" max="7174" width="9.28515625" style="138" customWidth="1"/>
    <col min="7175" max="7175" width="11.85546875" style="138" customWidth="1"/>
    <col min="7176" max="7178" width="11.7109375" style="138" customWidth="1"/>
    <col min="7179" max="7181" width="9" style="138" customWidth="1"/>
    <col min="7182" max="7182" width="10.28515625" style="138" customWidth="1"/>
    <col min="7183" max="7183" width="9.85546875" style="138" customWidth="1"/>
    <col min="7184" max="7184" width="8.85546875" style="138" customWidth="1"/>
    <col min="7185" max="7424" width="9.140625" style="138"/>
    <col min="7425" max="7425" width="5.5703125" style="138" customWidth="1"/>
    <col min="7426" max="7426" width="42.85546875" style="138" customWidth="1"/>
    <col min="7427" max="7428" width="10.28515625" style="138" customWidth="1"/>
    <col min="7429" max="7430" width="9.28515625" style="138" customWidth="1"/>
    <col min="7431" max="7431" width="11.85546875" style="138" customWidth="1"/>
    <col min="7432" max="7434" width="11.7109375" style="138" customWidth="1"/>
    <col min="7435" max="7437" width="9" style="138" customWidth="1"/>
    <col min="7438" max="7438" width="10.28515625" style="138" customWidth="1"/>
    <col min="7439" max="7439" width="9.85546875" style="138" customWidth="1"/>
    <col min="7440" max="7440" width="8.85546875" style="138" customWidth="1"/>
    <col min="7441" max="7680" width="9.140625" style="138"/>
    <col min="7681" max="7681" width="5.5703125" style="138" customWidth="1"/>
    <col min="7682" max="7682" width="42.85546875" style="138" customWidth="1"/>
    <col min="7683" max="7684" width="10.28515625" style="138" customWidth="1"/>
    <col min="7685" max="7686" width="9.28515625" style="138" customWidth="1"/>
    <col min="7687" max="7687" width="11.85546875" style="138" customWidth="1"/>
    <col min="7688" max="7690" width="11.7109375" style="138" customWidth="1"/>
    <col min="7691" max="7693" width="9" style="138" customWidth="1"/>
    <col min="7694" max="7694" width="10.28515625" style="138" customWidth="1"/>
    <col min="7695" max="7695" width="9.85546875" style="138" customWidth="1"/>
    <col min="7696" max="7696" width="8.85546875" style="138" customWidth="1"/>
    <col min="7697" max="7936" width="9.140625" style="138"/>
    <col min="7937" max="7937" width="5.5703125" style="138" customWidth="1"/>
    <col min="7938" max="7938" width="42.85546875" style="138" customWidth="1"/>
    <col min="7939" max="7940" width="10.28515625" style="138" customWidth="1"/>
    <col min="7941" max="7942" width="9.28515625" style="138" customWidth="1"/>
    <col min="7943" max="7943" width="11.85546875" style="138" customWidth="1"/>
    <col min="7944" max="7946" width="11.7109375" style="138" customWidth="1"/>
    <col min="7947" max="7949" width="9" style="138" customWidth="1"/>
    <col min="7950" max="7950" width="10.28515625" style="138" customWidth="1"/>
    <col min="7951" max="7951" width="9.85546875" style="138" customWidth="1"/>
    <col min="7952" max="7952" width="8.85546875" style="138" customWidth="1"/>
    <col min="7953" max="8192" width="9.140625" style="138"/>
    <col min="8193" max="8193" width="5.5703125" style="138" customWidth="1"/>
    <col min="8194" max="8194" width="42.85546875" style="138" customWidth="1"/>
    <col min="8195" max="8196" width="10.28515625" style="138" customWidth="1"/>
    <col min="8197" max="8198" width="9.28515625" style="138" customWidth="1"/>
    <col min="8199" max="8199" width="11.85546875" style="138" customWidth="1"/>
    <col min="8200" max="8202" width="11.7109375" style="138" customWidth="1"/>
    <col min="8203" max="8205" width="9" style="138" customWidth="1"/>
    <col min="8206" max="8206" width="10.28515625" style="138" customWidth="1"/>
    <col min="8207" max="8207" width="9.85546875" style="138" customWidth="1"/>
    <col min="8208" max="8208" width="8.85546875" style="138" customWidth="1"/>
    <col min="8209" max="8448" width="9.140625" style="138"/>
    <col min="8449" max="8449" width="5.5703125" style="138" customWidth="1"/>
    <col min="8450" max="8450" width="42.85546875" style="138" customWidth="1"/>
    <col min="8451" max="8452" width="10.28515625" style="138" customWidth="1"/>
    <col min="8453" max="8454" width="9.28515625" style="138" customWidth="1"/>
    <col min="8455" max="8455" width="11.85546875" style="138" customWidth="1"/>
    <col min="8456" max="8458" width="11.7109375" style="138" customWidth="1"/>
    <col min="8459" max="8461" width="9" style="138" customWidth="1"/>
    <col min="8462" max="8462" width="10.28515625" style="138" customWidth="1"/>
    <col min="8463" max="8463" width="9.85546875" style="138" customWidth="1"/>
    <col min="8464" max="8464" width="8.85546875" style="138" customWidth="1"/>
    <col min="8465" max="8704" width="9.140625" style="138"/>
    <col min="8705" max="8705" width="5.5703125" style="138" customWidth="1"/>
    <col min="8706" max="8706" width="42.85546875" style="138" customWidth="1"/>
    <col min="8707" max="8708" width="10.28515625" style="138" customWidth="1"/>
    <col min="8709" max="8710" width="9.28515625" style="138" customWidth="1"/>
    <col min="8711" max="8711" width="11.85546875" style="138" customWidth="1"/>
    <col min="8712" max="8714" width="11.7109375" style="138" customWidth="1"/>
    <col min="8715" max="8717" width="9" style="138" customWidth="1"/>
    <col min="8718" max="8718" width="10.28515625" style="138" customWidth="1"/>
    <col min="8719" max="8719" width="9.85546875" style="138" customWidth="1"/>
    <col min="8720" max="8720" width="8.85546875" style="138" customWidth="1"/>
    <col min="8721" max="8960" width="9.140625" style="138"/>
    <col min="8961" max="8961" width="5.5703125" style="138" customWidth="1"/>
    <col min="8962" max="8962" width="42.85546875" style="138" customWidth="1"/>
    <col min="8963" max="8964" width="10.28515625" style="138" customWidth="1"/>
    <col min="8965" max="8966" width="9.28515625" style="138" customWidth="1"/>
    <col min="8967" max="8967" width="11.85546875" style="138" customWidth="1"/>
    <col min="8968" max="8970" width="11.7109375" style="138" customWidth="1"/>
    <col min="8971" max="8973" width="9" style="138" customWidth="1"/>
    <col min="8974" max="8974" width="10.28515625" style="138" customWidth="1"/>
    <col min="8975" max="8975" width="9.85546875" style="138" customWidth="1"/>
    <col min="8976" max="8976" width="8.85546875" style="138" customWidth="1"/>
    <col min="8977" max="9216" width="9.140625" style="138"/>
    <col min="9217" max="9217" width="5.5703125" style="138" customWidth="1"/>
    <col min="9218" max="9218" width="42.85546875" style="138" customWidth="1"/>
    <col min="9219" max="9220" width="10.28515625" style="138" customWidth="1"/>
    <col min="9221" max="9222" width="9.28515625" style="138" customWidth="1"/>
    <col min="9223" max="9223" width="11.85546875" style="138" customWidth="1"/>
    <col min="9224" max="9226" width="11.7109375" style="138" customWidth="1"/>
    <col min="9227" max="9229" width="9" style="138" customWidth="1"/>
    <col min="9230" max="9230" width="10.28515625" style="138" customWidth="1"/>
    <col min="9231" max="9231" width="9.85546875" style="138" customWidth="1"/>
    <col min="9232" max="9232" width="8.85546875" style="138" customWidth="1"/>
    <col min="9233" max="9472" width="9.140625" style="138"/>
    <col min="9473" max="9473" width="5.5703125" style="138" customWidth="1"/>
    <col min="9474" max="9474" width="42.85546875" style="138" customWidth="1"/>
    <col min="9475" max="9476" width="10.28515625" style="138" customWidth="1"/>
    <col min="9477" max="9478" width="9.28515625" style="138" customWidth="1"/>
    <col min="9479" max="9479" width="11.85546875" style="138" customWidth="1"/>
    <col min="9480" max="9482" width="11.7109375" style="138" customWidth="1"/>
    <col min="9483" max="9485" width="9" style="138" customWidth="1"/>
    <col min="9486" max="9486" width="10.28515625" style="138" customWidth="1"/>
    <col min="9487" max="9487" width="9.85546875" style="138" customWidth="1"/>
    <col min="9488" max="9488" width="8.85546875" style="138" customWidth="1"/>
    <col min="9489" max="9728" width="9.140625" style="138"/>
    <col min="9729" max="9729" width="5.5703125" style="138" customWidth="1"/>
    <col min="9730" max="9730" width="42.85546875" style="138" customWidth="1"/>
    <col min="9731" max="9732" width="10.28515625" style="138" customWidth="1"/>
    <col min="9733" max="9734" width="9.28515625" style="138" customWidth="1"/>
    <col min="9735" max="9735" width="11.85546875" style="138" customWidth="1"/>
    <col min="9736" max="9738" width="11.7109375" style="138" customWidth="1"/>
    <col min="9739" max="9741" width="9" style="138" customWidth="1"/>
    <col min="9742" max="9742" width="10.28515625" style="138" customWidth="1"/>
    <col min="9743" max="9743" width="9.85546875" style="138" customWidth="1"/>
    <col min="9744" max="9744" width="8.85546875" style="138" customWidth="1"/>
    <col min="9745" max="9984" width="9.140625" style="138"/>
    <col min="9985" max="9985" width="5.5703125" style="138" customWidth="1"/>
    <col min="9986" max="9986" width="42.85546875" style="138" customWidth="1"/>
    <col min="9987" max="9988" width="10.28515625" style="138" customWidth="1"/>
    <col min="9989" max="9990" width="9.28515625" style="138" customWidth="1"/>
    <col min="9991" max="9991" width="11.85546875" style="138" customWidth="1"/>
    <col min="9992" max="9994" width="11.7109375" style="138" customWidth="1"/>
    <col min="9995" max="9997" width="9" style="138" customWidth="1"/>
    <col min="9998" max="9998" width="10.28515625" style="138" customWidth="1"/>
    <col min="9999" max="9999" width="9.85546875" style="138" customWidth="1"/>
    <col min="10000" max="10000" width="8.85546875" style="138" customWidth="1"/>
    <col min="10001" max="10240" width="9.140625" style="138"/>
    <col min="10241" max="10241" width="5.5703125" style="138" customWidth="1"/>
    <col min="10242" max="10242" width="42.85546875" style="138" customWidth="1"/>
    <col min="10243" max="10244" width="10.28515625" style="138" customWidth="1"/>
    <col min="10245" max="10246" width="9.28515625" style="138" customWidth="1"/>
    <col min="10247" max="10247" width="11.85546875" style="138" customWidth="1"/>
    <col min="10248" max="10250" width="11.7109375" style="138" customWidth="1"/>
    <col min="10251" max="10253" width="9" style="138" customWidth="1"/>
    <col min="10254" max="10254" width="10.28515625" style="138" customWidth="1"/>
    <col min="10255" max="10255" width="9.85546875" style="138" customWidth="1"/>
    <col min="10256" max="10256" width="8.85546875" style="138" customWidth="1"/>
    <col min="10257" max="10496" width="9.140625" style="138"/>
    <col min="10497" max="10497" width="5.5703125" style="138" customWidth="1"/>
    <col min="10498" max="10498" width="42.85546875" style="138" customWidth="1"/>
    <col min="10499" max="10500" width="10.28515625" style="138" customWidth="1"/>
    <col min="10501" max="10502" width="9.28515625" style="138" customWidth="1"/>
    <col min="10503" max="10503" width="11.85546875" style="138" customWidth="1"/>
    <col min="10504" max="10506" width="11.7109375" style="138" customWidth="1"/>
    <col min="10507" max="10509" width="9" style="138" customWidth="1"/>
    <col min="10510" max="10510" width="10.28515625" style="138" customWidth="1"/>
    <col min="10511" max="10511" width="9.85546875" style="138" customWidth="1"/>
    <col min="10512" max="10512" width="8.85546875" style="138" customWidth="1"/>
    <col min="10513" max="10752" width="9.140625" style="138"/>
    <col min="10753" max="10753" width="5.5703125" style="138" customWidth="1"/>
    <col min="10754" max="10754" width="42.85546875" style="138" customWidth="1"/>
    <col min="10755" max="10756" width="10.28515625" style="138" customWidth="1"/>
    <col min="10757" max="10758" width="9.28515625" style="138" customWidth="1"/>
    <col min="10759" max="10759" width="11.85546875" style="138" customWidth="1"/>
    <col min="10760" max="10762" width="11.7109375" style="138" customWidth="1"/>
    <col min="10763" max="10765" width="9" style="138" customWidth="1"/>
    <col min="10766" max="10766" width="10.28515625" style="138" customWidth="1"/>
    <col min="10767" max="10767" width="9.85546875" style="138" customWidth="1"/>
    <col min="10768" max="10768" width="8.85546875" style="138" customWidth="1"/>
    <col min="10769" max="11008" width="9.140625" style="138"/>
    <col min="11009" max="11009" width="5.5703125" style="138" customWidth="1"/>
    <col min="11010" max="11010" width="42.85546875" style="138" customWidth="1"/>
    <col min="11011" max="11012" width="10.28515625" style="138" customWidth="1"/>
    <col min="11013" max="11014" width="9.28515625" style="138" customWidth="1"/>
    <col min="11015" max="11015" width="11.85546875" style="138" customWidth="1"/>
    <col min="11016" max="11018" width="11.7109375" style="138" customWidth="1"/>
    <col min="11019" max="11021" width="9" style="138" customWidth="1"/>
    <col min="11022" max="11022" width="10.28515625" style="138" customWidth="1"/>
    <col min="11023" max="11023" width="9.85546875" style="138" customWidth="1"/>
    <col min="11024" max="11024" width="8.85546875" style="138" customWidth="1"/>
    <col min="11025" max="11264" width="9.140625" style="138"/>
    <col min="11265" max="11265" width="5.5703125" style="138" customWidth="1"/>
    <col min="11266" max="11266" width="42.85546875" style="138" customWidth="1"/>
    <col min="11267" max="11268" width="10.28515625" style="138" customWidth="1"/>
    <col min="11269" max="11270" width="9.28515625" style="138" customWidth="1"/>
    <col min="11271" max="11271" width="11.85546875" style="138" customWidth="1"/>
    <col min="11272" max="11274" width="11.7109375" style="138" customWidth="1"/>
    <col min="11275" max="11277" width="9" style="138" customWidth="1"/>
    <col min="11278" max="11278" width="10.28515625" style="138" customWidth="1"/>
    <col min="11279" max="11279" width="9.85546875" style="138" customWidth="1"/>
    <col min="11280" max="11280" width="8.85546875" style="138" customWidth="1"/>
    <col min="11281" max="11520" width="9.140625" style="138"/>
    <col min="11521" max="11521" width="5.5703125" style="138" customWidth="1"/>
    <col min="11522" max="11522" width="42.85546875" style="138" customWidth="1"/>
    <col min="11523" max="11524" width="10.28515625" style="138" customWidth="1"/>
    <col min="11525" max="11526" width="9.28515625" style="138" customWidth="1"/>
    <col min="11527" max="11527" width="11.85546875" style="138" customWidth="1"/>
    <col min="11528" max="11530" width="11.7109375" style="138" customWidth="1"/>
    <col min="11531" max="11533" width="9" style="138" customWidth="1"/>
    <col min="11534" max="11534" width="10.28515625" style="138" customWidth="1"/>
    <col min="11535" max="11535" width="9.85546875" style="138" customWidth="1"/>
    <col min="11536" max="11536" width="8.85546875" style="138" customWidth="1"/>
    <col min="11537" max="11776" width="9.140625" style="138"/>
    <col min="11777" max="11777" width="5.5703125" style="138" customWidth="1"/>
    <col min="11778" max="11778" width="42.85546875" style="138" customWidth="1"/>
    <col min="11779" max="11780" width="10.28515625" style="138" customWidth="1"/>
    <col min="11781" max="11782" width="9.28515625" style="138" customWidth="1"/>
    <col min="11783" max="11783" width="11.85546875" style="138" customWidth="1"/>
    <col min="11784" max="11786" width="11.7109375" style="138" customWidth="1"/>
    <col min="11787" max="11789" width="9" style="138" customWidth="1"/>
    <col min="11790" max="11790" width="10.28515625" style="138" customWidth="1"/>
    <col min="11791" max="11791" width="9.85546875" style="138" customWidth="1"/>
    <col min="11792" max="11792" width="8.85546875" style="138" customWidth="1"/>
    <col min="11793" max="12032" width="9.140625" style="138"/>
    <col min="12033" max="12033" width="5.5703125" style="138" customWidth="1"/>
    <col min="12034" max="12034" width="42.85546875" style="138" customWidth="1"/>
    <col min="12035" max="12036" width="10.28515625" style="138" customWidth="1"/>
    <col min="12037" max="12038" width="9.28515625" style="138" customWidth="1"/>
    <col min="12039" max="12039" width="11.85546875" style="138" customWidth="1"/>
    <col min="12040" max="12042" width="11.7109375" style="138" customWidth="1"/>
    <col min="12043" max="12045" width="9" style="138" customWidth="1"/>
    <col min="12046" max="12046" width="10.28515625" style="138" customWidth="1"/>
    <col min="12047" max="12047" width="9.85546875" style="138" customWidth="1"/>
    <col min="12048" max="12048" width="8.85546875" style="138" customWidth="1"/>
    <col min="12049" max="12288" width="9.140625" style="138"/>
    <col min="12289" max="12289" width="5.5703125" style="138" customWidth="1"/>
    <col min="12290" max="12290" width="42.85546875" style="138" customWidth="1"/>
    <col min="12291" max="12292" width="10.28515625" style="138" customWidth="1"/>
    <col min="12293" max="12294" width="9.28515625" style="138" customWidth="1"/>
    <col min="12295" max="12295" width="11.85546875" style="138" customWidth="1"/>
    <col min="12296" max="12298" width="11.7109375" style="138" customWidth="1"/>
    <col min="12299" max="12301" width="9" style="138" customWidth="1"/>
    <col min="12302" max="12302" width="10.28515625" style="138" customWidth="1"/>
    <col min="12303" max="12303" width="9.85546875" style="138" customWidth="1"/>
    <col min="12304" max="12304" width="8.85546875" style="138" customWidth="1"/>
    <col min="12305" max="12544" width="9.140625" style="138"/>
    <col min="12545" max="12545" width="5.5703125" style="138" customWidth="1"/>
    <col min="12546" max="12546" width="42.85546875" style="138" customWidth="1"/>
    <col min="12547" max="12548" width="10.28515625" style="138" customWidth="1"/>
    <col min="12549" max="12550" width="9.28515625" style="138" customWidth="1"/>
    <col min="12551" max="12551" width="11.85546875" style="138" customWidth="1"/>
    <col min="12552" max="12554" width="11.7109375" style="138" customWidth="1"/>
    <col min="12555" max="12557" width="9" style="138" customWidth="1"/>
    <col min="12558" max="12558" width="10.28515625" style="138" customWidth="1"/>
    <col min="12559" max="12559" width="9.85546875" style="138" customWidth="1"/>
    <col min="12560" max="12560" width="8.85546875" style="138" customWidth="1"/>
    <col min="12561" max="12800" width="9.140625" style="138"/>
    <col min="12801" max="12801" width="5.5703125" style="138" customWidth="1"/>
    <col min="12802" max="12802" width="42.85546875" style="138" customWidth="1"/>
    <col min="12803" max="12804" width="10.28515625" style="138" customWidth="1"/>
    <col min="12805" max="12806" width="9.28515625" style="138" customWidth="1"/>
    <col min="12807" max="12807" width="11.85546875" style="138" customWidth="1"/>
    <col min="12808" max="12810" width="11.7109375" style="138" customWidth="1"/>
    <col min="12811" max="12813" width="9" style="138" customWidth="1"/>
    <col min="12814" max="12814" width="10.28515625" style="138" customWidth="1"/>
    <col min="12815" max="12815" width="9.85546875" style="138" customWidth="1"/>
    <col min="12816" max="12816" width="8.85546875" style="138" customWidth="1"/>
    <col min="12817" max="13056" width="9.140625" style="138"/>
    <col min="13057" max="13057" width="5.5703125" style="138" customWidth="1"/>
    <col min="13058" max="13058" width="42.85546875" style="138" customWidth="1"/>
    <col min="13059" max="13060" width="10.28515625" style="138" customWidth="1"/>
    <col min="13061" max="13062" width="9.28515625" style="138" customWidth="1"/>
    <col min="13063" max="13063" width="11.85546875" style="138" customWidth="1"/>
    <col min="13064" max="13066" width="11.7109375" style="138" customWidth="1"/>
    <col min="13067" max="13069" width="9" style="138" customWidth="1"/>
    <col min="13070" max="13070" width="10.28515625" style="138" customWidth="1"/>
    <col min="13071" max="13071" width="9.85546875" style="138" customWidth="1"/>
    <col min="13072" max="13072" width="8.85546875" style="138" customWidth="1"/>
    <col min="13073" max="13312" width="9.140625" style="138"/>
    <col min="13313" max="13313" width="5.5703125" style="138" customWidth="1"/>
    <col min="13314" max="13314" width="42.85546875" style="138" customWidth="1"/>
    <col min="13315" max="13316" width="10.28515625" style="138" customWidth="1"/>
    <col min="13317" max="13318" width="9.28515625" style="138" customWidth="1"/>
    <col min="13319" max="13319" width="11.85546875" style="138" customWidth="1"/>
    <col min="13320" max="13322" width="11.7109375" style="138" customWidth="1"/>
    <col min="13323" max="13325" width="9" style="138" customWidth="1"/>
    <col min="13326" max="13326" width="10.28515625" style="138" customWidth="1"/>
    <col min="13327" max="13327" width="9.85546875" style="138" customWidth="1"/>
    <col min="13328" max="13328" width="8.85546875" style="138" customWidth="1"/>
    <col min="13329" max="13568" width="9.140625" style="138"/>
    <col min="13569" max="13569" width="5.5703125" style="138" customWidth="1"/>
    <col min="13570" max="13570" width="42.85546875" style="138" customWidth="1"/>
    <col min="13571" max="13572" width="10.28515625" style="138" customWidth="1"/>
    <col min="13573" max="13574" width="9.28515625" style="138" customWidth="1"/>
    <col min="13575" max="13575" width="11.85546875" style="138" customWidth="1"/>
    <col min="13576" max="13578" width="11.7109375" style="138" customWidth="1"/>
    <col min="13579" max="13581" width="9" style="138" customWidth="1"/>
    <col min="13582" max="13582" width="10.28515625" style="138" customWidth="1"/>
    <col min="13583" max="13583" width="9.85546875" style="138" customWidth="1"/>
    <col min="13584" max="13584" width="8.85546875" style="138" customWidth="1"/>
    <col min="13585" max="13824" width="9.140625" style="138"/>
    <col min="13825" max="13825" width="5.5703125" style="138" customWidth="1"/>
    <col min="13826" max="13826" width="42.85546875" style="138" customWidth="1"/>
    <col min="13827" max="13828" width="10.28515625" style="138" customWidth="1"/>
    <col min="13829" max="13830" width="9.28515625" style="138" customWidth="1"/>
    <col min="13831" max="13831" width="11.85546875" style="138" customWidth="1"/>
    <col min="13832" max="13834" width="11.7109375" style="138" customWidth="1"/>
    <col min="13835" max="13837" width="9" style="138" customWidth="1"/>
    <col min="13838" max="13838" width="10.28515625" style="138" customWidth="1"/>
    <col min="13839" max="13839" width="9.85546875" style="138" customWidth="1"/>
    <col min="13840" max="13840" width="8.85546875" style="138" customWidth="1"/>
    <col min="13841" max="14080" width="9.140625" style="138"/>
    <col min="14081" max="14081" width="5.5703125" style="138" customWidth="1"/>
    <col min="14082" max="14082" width="42.85546875" style="138" customWidth="1"/>
    <col min="14083" max="14084" width="10.28515625" style="138" customWidth="1"/>
    <col min="14085" max="14086" width="9.28515625" style="138" customWidth="1"/>
    <col min="14087" max="14087" width="11.85546875" style="138" customWidth="1"/>
    <col min="14088" max="14090" width="11.7109375" style="138" customWidth="1"/>
    <col min="14091" max="14093" width="9" style="138" customWidth="1"/>
    <col min="14094" max="14094" width="10.28515625" style="138" customWidth="1"/>
    <col min="14095" max="14095" width="9.85546875" style="138" customWidth="1"/>
    <col min="14096" max="14096" width="8.85546875" style="138" customWidth="1"/>
    <col min="14097" max="14336" width="9.140625" style="138"/>
    <col min="14337" max="14337" width="5.5703125" style="138" customWidth="1"/>
    <col min="14338" max="14338" width="42.85546875" style="138" customWidth="1"/>
    <col min="14339" max="14340" width="10.28515625" style="138" customWidth="1"/>
    <col min="14341" max="14342" width="9.28515625" style="138" customWidth="1"/>
    <col min="14343" max="14343" width="11.85546875" style="138" customWidth="1"/>
    <col min="14344" max="14346" width="11.7109375" style="138" customWidth="1"/>
    <col min="14347" max="14349" width="9" style="138" customWidth="1"/>
    <col min="14350" max="14350" width="10.28515625" style="138" customWidth="1"/>
    <col min="14351" max="14351" width="9.85546875" style="138" customWidth="1"/>
    <col min="14352" max="14352" width="8.85546875" style="138" customWidth="1"/>
    <col min="14353" max="14592" width="9.140625" style="138"/>
    <col min="14593" max="14593" width="5.5703125" style="138" customWidth="1"/>
    <col min="14594" max="14594" width="42.85546875" style="138" customWidth="1"/>
    <col min="14595" max="14596" width="10.28515625" style="138" customWidth="1"/>
    <col min="14597" max="14598" width="9.28515625" style="138" customWidth="1"/>
    <col min="14599" max="14599" width="11.85546875" style="138" customWidth="1"/>
    <col min="14600" max="14602" width="11.7109375" style="138" customWidth="1"/>
    <col min="14603" max="14605" width="9" style="138" customWidth="1"/>
    <col min="14606" max="14606" width="10.28515625" style="138" customWidth="1"/>
    <col min="14607" max="14607" width="9.85546875" style="138" customWidth="1"/>
    <col min="14608" max="14608" width="8.85546875" style="138" customWidth="1"/>
    <col min="14609" max="14848" width="9.140625" style="138"/>
    <col min="14849" max="14849" width="5.5703125" style="138" customWidth="1"/>
    <col min="14850" max="14850" width="42.85546875" style="138" customWidth="1"/>
    <col min="14851" max="14852" width="10.28515625" style="138" customWidth="1"/>
    <col min="14853" max="14854" width="9.28515625" style="138" customWidth="1"/>
    <col min="14855" max="14855" width="11.85546875" style="138" customWidth="1"/>
    <col min="14856" max="14858" width="11.7109375" style="138" customWidth="1"/>
    <col min="14859" max="14861" width="9" style="138" customWidth="1"/>
    <col min="14862" max="14862" width="10.28515625" style="138" customWidth="1"/>
    <col min="14863" max="14863" width="9.85546875" style="138" customWidth="1"/>
    <col min="14864" max="14864" width="8.85546875" style="138" customWidth="1"/>
    <col min="14865" max="15104" width="9.140625" style="138"/>
    <col min="15105" max="15105" width="5.5703125" style="138" customWidth="1"/>
    <col min="15106" max="15106" width="42.85546875" style="138" customWidth="1"/>
    <col min="15107" max="15108" width="10.28515625" style="138" customWidth="1"/>
    <col min="15109" max="15110" width="9.28515625" style="138" customWidth="1"/>
    <col min="15111" max="15111" width="11.85546875" style="138" customWidth="1"/>
    <col min="15112" max="15114" width="11.7109375" style="138" customWidth="1"/>
    <col min="15115" max="15117" width="9" style="138" customWidth="1"/>
    <col min="15118" max="15118" width="10.28515625" style="138" customWidth="1"/>
    <col min="15119" max="15119" width="9.85546875" style="138" customWidth="1"/>
    <col min="15120" max="15120" width="8.85546875" style="138" customWidth="1"/>
    <col min="15121" max="15360" width="9.140625" style="138"/>
    <col min="15361" max="15361" width="5.5703125" style="138" customWidth="1"/>
    <col min="15362" max="15362" width="42.85546875" style="138" customWidth="1"/>
    <col min="15363" max="15364" width="10.28515625" style="138" customWidth="1"/>
    <col min="15365" max="15366" width="9.28515625" style="138" customWidth="1"/>
    <col min="15367" max="15367" width="11.85546875" style="138" customWidth="1"/>
    <col min="15368" max="15370" width="11.7109375" style="138" customWidth="1"/>
    <col min="15371" max="15373" width="9" style="138" customWidth="1"/>
    <col min="15374" max="15374" width="10.28515625" style="138" customWidth="1"/>
    <col min="15375" max="15375" width="9.85546875" style="138" customWidth="1"/>
    <col min="15376" max="15376" width="8.85546875" style="138" customWidth="1"/>
    <col min="15377" max="15616" width="9.140625" style="138"/>
    <col min="15617" max="15617" width="5.5703125" style="138" customWidth="1"/>
    <col min="15618" max="15618" width="42.85546875" style="138" customWidth="1"/>
    <col min="15619" max="15620" width="10.28515625" style="138" customWidth="1"/>
    <col min="15621" max="15622" width="9.28515625" style="138" customWidth="1"/>
    <col min="15623" max="15623" width="11.85546875" style="138" customWidth="1"/>
    <col min="15624" max="15626" width="11.7109375" style="138" customWidth="1"/>
    <col min="15627" max="15629" width="9" style="138" customWidth="1"/>
    <col min="15630" max="15630" width="10.28515625" style="138" customWidth="1"/>
    <col min="15631" max="15631" width="9.85546875" style="138" customWidth="1"/>
    <col min="15632" max="15632" width="8.85546875" style="138" customWidth="1"/>
    <col min="15633" max="15872" width="9.140625" style="138"/>
    <col min="15873" max="15873" width="5.5703125" style="138" customWidth="1"/>
    <col min="15874" max="15874" width="42.85546875" style="138" customWidth="1"/>
    <col min="15875" max="15876" width="10.28515625" style="138" customWidth="1"/>
    <col min="15877" max="15878" width="9.28515625" style="138" customWidth="1"/>
    <col min="15879" max="15879" width="11.85546875" style="138" customWidth="1"/>
    <col min="15880" max="15882" width="11.7109375" style="138" customWidth="1"/>
    <col min="15883" max="15885" width="9" style="138" customWidth="1"/>
    <col min="15886" max="15886" width="10.28515625" style="138" customWidth="1"/>
    <col min="15887" max="15887" width="9.85546875" style="138" customWidth="1"/>
    <col min="15888" max="15888" width="8.85546875" style="138" customWidth="1"/>
    <col min="15889" max="16128" width="9.140625" style="138"/>
    <col min="16129" max="16129" width="5.5703125" style="138" customWidth="1"/>
    <col min="16130" max="16130" width="42.85546875" style="138" customWidth="1"/>
    <col min="16131" max="16132" width="10.28515625" style="138" customWidth="1"/>
    <col min="16133" max="16134" width="9.28515625" style="138" customWidth="1"/>
    <col min="16135" max="16135" width="11.85546875" style="138" customWidth="1"/>
    <col min="16136" max="16138" width="11.7109375" style="138" customWidth="1"/>
    <col min="16139" max="16141" width="9" style="138" customWidth="1"/>
    <col min="16142" max="16142" width="10.28515625" style="138" customWidth="1"/>
    <col min="16143" max="16143" width="9.85546875" style="138" customWidth="1"/>
    <col min="16144" max="16144" width="8.85546875" style="138" customWidth="1"/>
    <col min="16145" max="16384" width="9.140625" style="138"/>
  </cols>
  <sheetData>
    <row r="1" spans="1:16" ht="15" customHeight="1">
      <c r="A1" s="133"/>
      <c r="B1" s="134"/>
      <c r="C1" s="134"/>
      <c r="D1" s="134"/>
      <c r="E1" s="134"/>
      <c r="F1" s="134"/>
      <c r="G1" s="135"/>
      <c r="H1" s="135"/>
      <c r="I1" s="135"/>
      <c r="J1" s="135"/>
      <c r="N1" s="137"/>
      <c r="O1" s="309" t="s">
        <v>150</v>
      </c>
      <c r="P1" s="309"/>
    </row>
    <row r="2" spans="1:16" ht="40.5" customHeight="1">
      <c r="A2" s="310" t="s">
        <v>230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</row>
    <row r="3" spans="1:16">
      <c r="A3" s="139"/>
      <c r="B3" s="139"/>
      <c r="C3" s="140"/>
      <c r="D3" s="140"/>
      <c r="E3" s="140"/>
      <c r="F3" s="140"/>
      <c r="G3" s="141"/>
      <c r="H3" s="141"/>
      <c r="I3" s="141"/>
      <c r="J3" s="141"/>
      <c r="K3" s="140"/>
    </row>
    <row r="4" spans="1:16" hidden="1">
      <c r="A4" s="245"/>
      <c r="B4" s="245"/>
      <c r="C4" s="246">
        <f>C11-C20</f>
        <v>-146300</v>
      </c>
      <c r="D4" s="246">
        <f>D20-[1]Sheet1!F8</f>
        <v>187.04017600417137</v>
      </c>
      <c r="E4" s="246"/>
      <c r="F4" s="246"/>
      <c r="G4" s="246"/>
      <c r="H4" s="246">
        <f>H11-H20</f>
        <v>-24399.979017000645</v>
      </c>
      <c r="I4" s="246">
        <f t="shared" ref="I4:J4" si="0">I11-I20</f>
        <v>-307589.93156250007</v>
      </c>
      <c r="J4" s="246">
        <f t="shared" si="0"/>
        <v>-638199.88593749888</v>
      </c>
      <c r="K4" s="246"/>
      <c r="L4" s="247"/>
      <c r="M4" s="247"/>
      <c r="N4" s="311" t="s">
        <v>157</v>
      </c>
      <c r="O4" s="311"/>
      <c r="P4" s="311"/>
    </row>
    <row r="5" spans="1:16" s="144" customFormat="1" ht="15" customHeight="1">
      <c r="A5" s="312" t="s">
        <v>26</v>
      </c>
      <c r="B5" s="312" t="s">
        <v>27</v>
      </c>
      <c r="C5" s="313" t="s">
        <v>180</v>
      </c>
      <c r="D5" s="313" t="s">
        <v>181</v>
      </c>
      <c r="E5" s="312" t="s">
        <v>28</v>
      </c>
      <c r="F5" s="312"/>
      <c r="G5" s="312" t="s">
        <v>182</v>
      </c>
      <c r="H5" s="314" t="s">
        <v>29</v>
      </c>
      <c r="I5" s="314"/>
      <c r="J5" s="314"/>
      <c r="K5" s="315" t="s">
        <v>30</v>
      </c>
      <c r="L5" s="315"/>
      <c r="M5" s="315"/>
      <c r="N5" s="315" t="s">
        <v>31</v>
      </c>
      <c r="O5" s="315"/>
      <c r="P5" s="315"/>
    </row>
    <row r="6" spans="1:16" s="144" customFormat="1" ht="48" customHeight="1">
      <c r="A6" s="312"/>
      <c r="B6" s="312"/>
      <c r="C6" s="313"/>
      <c r="D6" s="313"/>
      <c r="E6" s="248" t="s">
        <v>32</v>
      </c>
      <c r="F6" s="249" t="s">
        <v>33</v>
      </c>
      <c r="G6" s="312"/>
      <c r="H6" s="248" t="s">
        <v>155</v>
      </c>
      <c r="I6" s="248" t="s">
        <v>35</v>
      </c>
      <c r="J6" s="248" t="s">
        <v>183</v>
      </c>
      <c r="K6" s="250" t="s">
        <v>224</v>
      </c>
      <c r="L6" s="250" t="s">
        <v>36</v>
      </c>
      <c r="M6" s="250" t="s">
        <v>207</v>
      </c>
      <c r="N6" s="250" t="s">
        <v>224</v>
      </c>
      <c r="O6" s="250" t="s">
        <v>36</v>
      </c>
      <c r="P6" s="250" t="s">
        <v>207</v>
      </c>
    </row>
    <row r="7" spans="1:16" s="145" customFormat="1" ht="12.6" customHeight="1">
      <c r="A7" s="251" t="s">
        <v>37</v>
      </c>
      <c r="B7" s="251" t="s">
        <v>38</v>
      </c>
      <c r="C7" s="252">
        <v>1</v>
      </c>
      <c r="D7" s="252">
        <v>2</v>
      </c>
      <c r="E7" s="252" t="s">
        <v>158</v>
      </c>
      <c r="F7" s="252" t="s">
        <v>159</v>
      </c>
      <c r="G7" s="252">
        <v>5</v>
      </c>
      <c r="H7" s="252">
        <v>6</v>
      </c>
      <c r="I7" s="252">
        <v>7</v>
      </c>
      <c r="J7" s="252">
        <v>8</v>
      </c>
      <c r="K7" s="252" t="s">
        <v>39</v>
      </c>
      <c r="L7" s="252" t="s">
        <v>40</v>
      </c>
      <c r="M7" s="252" t="s">
        <v>41</v>
      </c>
      <c r="N7" s="252" t="s">
        <v>42</v>
      </c>
      <c r="O7" s="252" t="s">
        <v>43</v>
      </c>
      <c r="P7" s="252" t="s">
        <v>44</v>
      </c>
    </row>
    <row r="8" spans="1:16" s="146" customFormat="1" ht="12.75">
      <c r="A8" s="253" t="s">
        <v>37</v>
      </c>
      <c r="B8" s="254" t="s">
        <v>121</v>
      </c>
      <c r="C8" s="255">
        <f>C9+C10</f>
        <v>10000000</v>
      </c>
      <c r="D8" s="255">
        <f>D9+D10</f>
        <v>10050000</v>
      </c>
      <c r="E8" s="256">
        <f>D8-C8</f>
        <v>50000</v>
      </c>
      <c r="F8" s="257">
        <f>D8/C8</f>
        <v>1.0049999999999999</v>
      </c>
      <c r="G8" s="258">
        <f t="shared" ref="G8:J8" si="1">G9+G10</f>
        <v>34116800</v>
      </c>
      <c r="H8" s="255">
        <f t="shared" si="1"/>
        <v>10500000</v>
      </c>
      <c r="I8" s="256">
        <f t="shared" si="1"/>
        <v>11245800</v>
      </c>
      <c r="J8" s="256">
        <f t="shared" si="1"/>
        <v>12371000</v>
      </c>
      <c r="K8" s="259">
        <f>H8/C8</f>
        <v>1.05</v>
      </c>
      <c r="L8" s="259">
        <f>I8/H8</f>
        <v>1.0710285714285714</v>
      </c>
      <c r="M8" s="259">
        <f>J8/I8</f>
        <v>1.10005513169361</v>
      </c>
      <c r="N8" s="256">
        <f>H8-C8</f>
        <v>500000</v>
      </c>
      <c r="O8" s="256">
        <f>I8-H8</f>
        <v>745800</v>
      </c>
      <c r="P8" s="256">
        <f>J8-I8</f>
        <v>1125200</v>
      </c>
    </row>
    <row r="9" spans="1:16" s="147" customFormat="1" ht="12.75">
      <c r="A9" s="176">
        <v>1</v>
      </c>
      <c r="B9" s="162" t="s">
        <v>109</v>
      </c>
      <c r="C9" s="260">
        <v>9250000</v>
      </c>
      <c r="D9" s="260">
        <v>9035000</v>
      </c>
      <c r="E9" s="149">
        <f>D9-C9</f>
        <v>-215000</v>
      </c>
      <c r="F9" s="158">
        <f>D9/C9</f>
        <v>0.97675675675675677</v>
      </c>
      <c r="G9" s="163">
        <f t="shared" ref="G9:G53" si="2">H9+I9+J9</f>
        <v>30996800</v>
      </c>
      <c r="H9" s="260">
        <v>9500000</v>
      </c>
      <c r="I9" s="149">
        <v>10205800</v>
      </c>
      <c r="J9" s="149">
        <v>11291000</v>
      </c>
      <c r="K9" s="159">
        <f t="shared" ref="K9:K53" si="3">H9/C9</f>
        <v>1.027027027027027</v>
      </c>
      <c r="L9" s="159">
        <f t="shared" ref="L9:M50" si="4">I9/H9</f>
        <v>1.0742947368421052</v>
      </c>
      <c r="M9" s="159">
        <f t="shared" si="4"/>
        <v>1.1063316937427736</v>
      </c>
      <c r="N9" s="149">
        <f t="shared" ref="N9:N53" si="5">H9-C9</f>
        <v>250000</v>
      </c>
      <c r="O9" s="149">
        <f t="shared" ref="O9:P53" si="6">I9-H9</f>
        <v>705800</v>
      </c>
      <c r="P9" s="149">
        <f t="shared" si="6"/>
        <v>1085200</v>
      </c>
    </row>
    <row r="10" spans="1:16" s="147" customFormat="1" ht="12.75">
      <c r="A10" s="176">
        <v>2</v>
      </c>
      <c r="B10" s="162" t="s">
        <v>122</v>
      </c>
      <c r="C10" s="260">
        <v>750000</v>
      </c>
      <c r="D10" s="260">
        <v>1015000</v>
      </c>
      <c r="E10" s="149">
        <f t="shared" ref="E10:E53" si="7">D10-C10</f>
        <v>265000</v>
      </c>
      <c r="F10" s="158">
        <f t="shared" ref="F10:F53" si="8">D10/C10</f>
        <v>1.3533333333333333</v>
      </c>
      <c r="G10" s="163">
        <f t="shared" si="2"/>
        <v>3120000</v>
      </c>
      <c r="H10" s="260">
        <v>1000000</v>
      </c>
      <c r="I10" s="149">
        <v>1040000</v>
      </c>
      <c r="J10" s="149">
        <v>1080000</v>
      </c>
      <c r="K10" s="159">
        <f t="shared" si="3"/>
        <v>1.3333333333333333</v>
      </c>
      <c r="L10" s="159">
        <f t="shared" si="4"/>
        <v>1.04</v>
      </c>
      <c r="M10" s="159">
        <f t="shared" si="4"/>
        <v>1.0384615384615385</v>
      </c>
      <c r="N10" s="149">
        <f t="shared" si="5"/>
        <v>250000</v>
      </c>
      <c r="O10" s="149">
        <f t="shared" si="6"/>
        <v>40000</v>
      </c>
      <c r="P10" s="149">
        <f t="shared" si="6"/>
        <v>40000</v>
      </c>
    </row>
    <row r="11" spans="1:16" s="146" customFormat="1" ht="12.75">
      <c r="A11" s="164" t="s">
        <v>38</v>
      </c>
      <c r="B11" s="165" t="s">
        <v>123</v>
      </c>
      <c r="C11" s="166">
        <f>C12+C19</f>
        <v>10977200</v>
      </c>
      <c r="D11" s="166">
        <f>D12+D19</f>
        <v>13950159</v>
      </c>
      <c r="E11" s="152">
        <f t="shared" si="7"/>
        <v>2972959</v>
      </c>
      <c r="F11" s="167">
        <f t="shared" si="8"/>
        <v>1.2708303574682069</v>
      </c>
      <c r="G11" s="171">
        <f t="shared" ref="G11:J11" si="9">G12+G19</f>
        <v>38749820</v>
      </c>
      <c r="H11" s="166">
        <f t="shared" si="9"/>
        <v>11520400</v>
      </c>
      <c r="I11" s="152">
        <f>I12+I19</f>
        <v>12780450</v>
      </c>
      <c r="J11" s="152">
        <f t="shared" si="9"/>
        <v>14448970</v>
      </c>
      <c r="K11" s="168">
        <f t="shared" si="3"/>
        <v>1.0494843858178771</v>
      </c>
      <c r="L11" s="168">
        <f t="shared" si="4"/>
        <v>1.1093755425158849</v>
      </c>
      <c r="M11" s="168">
        <f t="shared" si="4"/>
        <v>1.1305525235809382</v>
      </c>
      <c r="N11" s="152">
        <f t="shared" si="5"/>
        <v>543200</v>
      </c>
      <c r="O11" s="152">
        <f t="shared" si="6"/>
        <v>1260050</v>
      </c>
      <c r="P11" s="152">
        <f t="shared" si="6"/>
        <v>1668520</v>
      </c>
    </row>
    <row r="12" spans="1:16" s="144" customFormat="1" ht="12.75">
      <c r="A12" s="164" t="s">
        <v>9</v>
      </c>
      <c r="B12" s="165" t="s">
        <v>124</v>
      </c>
      <c r="C12" s="166">
        <f>C13+C15+C16+C17+C18</f>
        <v>10029008</v>
      </c>
      <c r="D12" s="166">
        <f>D13+D15+D16+D17+D18</f>
        <v>12974544</v>
      </c>
      <c r="E12" s="152">
        <f t="shared" si="7"/>
        <v>2945536</v>
      </c>
      <c r="F12" s="167">
        <f t="shared" si="8"/>
        <v>1.2937016303107944</v>
      </c>
      <c r="G12" s="171">
        <f t="shared" ref="G12:J12" si="10">G13+G15+G16</f>
        <v>33001568</v>
      </c>
      <c r="H12" s="166">
        <f t="shared" si="10"/>
        <v>10293188</v>
      </c>
      <c r="I12" s="171">
        <f t="shared" si="10"/>
        <v>10832080</v>
      </c>
      <c r="J12" s="171">
        <f t="shared" si="10"/>
        <v>11876300</v>
      </c>
      <c r="K12" s="168">
        <f t="shared" si="3"/>
        <v>1.0263415883205995</v>
      </c>
      <c r="L12" s="168">
        <f t="shared" si="4"/>
        <v>1.0523542366077447</v>
      </c>
      <c r="M12" s="168">
        <f t="shared" si="4"/>
        <v>1.0964006912799757</v>
      </c>
      <c r="N12" s="171">
        <f t="shared" si="5"/>
        <v>264180</v>
      </c>
      <c r="O12" s="171">
        <f t="shared" si="6"/>
        <v>538892</v>
      </c>
      <c r="P12" s="171">
        <f t="shared" si="6"/>
        <v>1044220</v>
      </c>
    </row>
    <row r="13" spans="1:16" s="147" customFormat="1" ht="12.75">
      <c r="A13" s="157">
        <v>1</v>
      </c>
      <c r="B13" s="261" t="s">
        <v>125</v>
      </c>
      <c r="C13" s="148">
        <v>8645277</v>
      </c>
      <c r="D13" s="148">
        <v>8131531</v>
      </c>
      <c r="E13" s="149">
        <f t="shared" si="7"/>
        <v>-513746</v>
      </c>
      <c r="F13" s="158">
        <f>D13/C13</f>
        <v>0.94057495208077191</v>
      </c>
      <c r="G13" s="163">
        <f t="shared" si="2"/>
        <v>29017837</v>
      </c>
      <c r="H13" s="148">
        <v>8909457</v>
      </c>
      <c r="I13" s="149">
        <v>9532080</v>
      </c>
      <c r="J13" s="149">
        <v>10576300</v>
      </c>
      <c r="K13" s="159">
        <f t="shared" si="3"/>
        <v>1.0305577253337284</v>
      </c>
      <c r="L13" s="159">
        <f t="shared" si="4"/>
        <v>1.0698833834654571</v>
      </c>
      <c r="M13" s="159">
        <f t="shared" si="4"/>
        <v>1.1095479685441163</v>
      </c>
      <c r="N13" s="149">
        <f t="shared" si="5"/>
        <v>264180</v>
      </c>
      <c r="O13" s="149">
        <f t="shared" si="6"/>
        <v>622623</v>
      </c>
      <c r="P13" s="149">
        <f t="shared" si="6"/>
        <v>1044220</v>
      </c>
    </row>
    <row r="14" spans="1:16" s="147" customFormat="1" ht="38.25">
      <c r="A14" s="157" t="s">
        <v>85</v>
      </c>
      <c r="B14" s="150" t="s">
        <v>225</v>
      </c>
      <c r="C14" s="148">
        <f>C13-408000-288500-11000-1700000</f>
        <v>6237777</v>
      </c>
      <c r="D14" s="148">
        <f>D13-737400-4000-1850000</f>
        <v>5540131</v>
      </c>
      <c r="E14" s="149">
        <f t="shared" si="7"/>
        <v>-697646</v>
      </c>
      <c r="F14" s="158">
        <f t="shared" ref="F14:F15" si="11">D14/C14</f>
        <v>0.8881579126666439</v>
      </c>
      <c r="G14" s="163">
        <f t="shared" si="2"/>
        <v>21686837</v>
      </c>
      <c r="H14" s="148">
        <f>H13-859600-265400-1710000</f>
        <v>6074457</v>
      </c>
      <c r="I14" s="149">
        <f>I13-470000-66000-1720000</f>
        <v>7276080</v>
      </c>
      <c r="J14" s="149">
        <f>J13-500000-1740000</f>
        <v>8336300</v>
      </c>
      <c r="K14" s="159">
        <f t="shared" si="3"/>
        <v>0.97381759559535397</v>
      </c>
      <c r="L14" s="159">
        <f t="shared" si="4"/>
        <v>1.1978157059964372</v>
      </c>
      <c r="M14" s="159">
        <f t="shared" si="4"/>
        <v>1.1457130762718386</v>
      </c>
      <c r="N14" s="149">
        <f t="shared" si="5"/>
        <v>-163320</v>
      </c>
      <c r="O14" s="149">
        <f t="shared" si="6"/>
        <v>1201623</v>
      </c>
      <c r="P14" s="149">
        <f>J14-I14</f>
        <v>1060220</v>
      </c>
    </row>
    <row r="15" spans="1:16" s="147" customFormat="1" ht="12.75">
      <c r="A15" s="157">
        <v>2</v>
      </c>
      <c r="B15" s="261" t="s">
        <v>126</v>
      </c>
      <c r="C15" s="148">
        <v>1383731</v>
      </c>
      <c r="D15" s="148">
        <v>1383731</v>
      </c>
      <c r="E15" s="149">
        <f t="shared" si="7"/>
        <v>0</v>
      </c>
      <c r="F15" s="158">
        <f t="shared" si="11"/>
        <v>1</v>
      </c>
      <c r="G15" s="163">
        <f t="shared" si="2"/>
        <v>3983731</v>
      </c>
      <c r="H15" s="148">
        <v>1383731</v>
      </c>
      <c r="I15" s="148">
        <v>1300000</v>
      </c>
      <c r="J15" s="148">
        <v>1300000</v>
      </c>
      <c r="K15" s="159">
        <f t="shared" si="3"/>
        <v>1</v>
      </c>
      <c r="L15" s="159">
        <f t="shared" si="4"/>
        <v>0.93948896136604587</v>
      </c>
      <c r="M15" s="159">
        <f t="shared" si="4"/>
        <v>1</v>
      </c>
      <c r="N15" s="149">
        <f t="shared" si="5"/>
        <v>0</v>
      </c>
      <c r="O15" s="149">
        <f t="shared" si="6"/>
        <v>-83731</v>
      </c>
      <c r="P15" s="149">
        <f t="shared" si="6"/>
        <v>0</v>
      </c>
    </row>
    <row r="16" spans="1:16" s="147" customFormat="1" ht="12.75">
      <c r="A16" s="157">
        <v>3</v>
      </c>
      <c r="B16" s="261" t="s">
        <v>127</v>
      </c>
      <c r="C16" s="148"/>
      <c r="D16" s="148">
        <f>2774425+17998</f>
        <v>2792423</v>
      </c>
      <c r="E16" s="149">
        <f t="shared" si="7"/>
        <v>2792423</v>
      </c>
      <c r="F16" s="158"/>
      <c r="G16" s="163">
        <f t="shared" si="2"/>
        <v>0</v>
      </c>
      <c r="H16" s="148"/>
      <c r="I16" s="149"/>
      <c r="J16" s="149"/>
      <c r="K16" s="159"/>
      <c r="L16" s="159"/>
      <c r="M16" s="159"/>
      <c r="N16" s="149">
        <f t="shared" si="5"/>
        <v>0</v>
      </c>
      <c r="O16" s="149">
        <f t="shared" si="6"/>
        <v>0</v>
      </c>
      <c r="P16" s="149">
        <f t="shared" si="6"/>
        <v>0</v>
      </c>
    </row>
    <row r="17" spans="1:16" s="147" customFormat="1" ht="25.5">
      <c r="A17" s="157">
        <v>4</v>
      </c>
      <c r="B17" s="162" t="s">
        <v>184</v>
      </c>
      <c r="C17" s="148"/>
      <c r="D17" s="148">
        <v>14751</v>
      </c>
      <c r="E17" s="149">
        <f t="shared" si="7"/>
        <v>14751</v>
      </c>
      <c r="F17" s="158"/>
      <c r="G17" s="163">
        <f t="shared" si="2"/>
        <v>0</v>
      </c>
      <c r="H17" s="148"/>
      <c r="I17" s="149"/>
      <c r="J17" s="149"/>
      <c r="K17" s="159"/>
      <c r="L17" s="159"/>
      <c r="M17" s="159"/>
      <c r="N17" s="149">
        <f t="shared" si="5"/>
        <v>0</v>
      </c>
      <c r="O17" s="149">
        <f t="shared" si="6"/>
        <v>0</v>
      </c>
      <c r="P17" s="149">
        <f t="shared" si="6"/>
        <v>0</v>
      </c>
    </row>
    <row r="18" spans="1:16" s="147" customFormat="1" ht="12.75">
      <c r="A18" s="157">
        <v>5</v>
      </c>
      <c r="B18" s="261" t="s">
        <v>185</v>
      </c>
      <c r="C18" s="148"/>
      <c r="D18" s="148">
        <v>652108</v>
      </c>
      <c r="E18" s="149">
        <f t="shared" si="7"/>
        <v>652108</v>
      </c>
      <c r="F18" s="158"/>
      <c r="G18" s="163">
        <f t="shared" si="2"/>
        <v>0</v>
      </c>
      <c r="H18" s="148"/>
      <c r="I18" s="149"/>
      <c r="J18" s="149"/>
      <c r="K18" s="159"/>
      <c r="L18" s="159"/>
      <c r="M18" s="159"/>
      <c r="N18" s="149">
        <f t="shared" si="5"/>
        <v>0</v>
      </c>
      <c r="O18" s="149">
        <f t="shared" si="6"/>
        <v>0</v>
      </c>
      <c r="P18" s="149">
        <f t="shared" si="6"/>
        <v>0</v>
      </c>
    </row>
    <row r="19" spans="1:16" s="144" customFormat="1" ht="25.5">
      <c r="A19" s="174" t="s">
        <v>21</v>
      </c>
      <c r="B19" s="175" t="s">
        <v>149</v>
      </c>
      <c r="C19" s="151">
        <v>948192</v>
      </c>
      <c r="D19" s="151">
        <v>975615</v>
      </c>
      <c r="E19" s="152">
        <f t="shared" si="7"/>
        <v>27423</v>
      </c>
      <c r="F19" s="167">
        <f t="shared" si="8"/>
        <v>1.0289213576997065</v>
      </c>
      <c r="G19" s="171">
        <f t="shared" si="2"/>
        <v>5748252</v>
      </c>
      <c r="H19" s="151">
        <v>1227212</v>
      </c>
      <c r="I19" s="152">
        <v>1948370</v>
      </c>
      <c r="J19" s="152">
        <v>2572670</v>
      </c>
      <c r="K19" s="168">
        <f t="shared" si="3"/>
        <v>1.2942652964800379</v>
      </c>
      <c r="L19" s="168">
        <f t="shared" si="4"/>
        <v>1.5876392994853374</v>
      </c>
      <c r="M19" s="168">
        <f t="shared" si="4"/>
        <v>1.3204216858194286</v>
      </c>
      <c r="N19" s="152">
        <f t="shared" si="5"/>
        <v>279020</v>
      </c>
      <c r="O19" s="152">
        <f t="shared" si="6"/>
        <v>721158</v>
      </c>
      <c r="P19" s="152">
        <f t="shared" si="6"/>
        <v>624300</v>
      </c>
    </row>
    <row r="20" spans="1:16" s="153" customFormat="1" ht="12.75">
      <c r="A20" s="164" t="s">
        <v>56</v>
      </c>
      <c r="B20" s="165" t="s">
        <v>128</v>
      </c>
      <c r="C20" s="166">
        <f>C21+C39</f>
        <v>11123500</v>
      </c>
      <c r="D20" s="166">
        <f>D21+D39</f>
        <v>13152538.068749409</v>
      </c>
      <c r="E20" s="152">
        <f t="shared" si="7"/>
        <v>2029038.0687494092</v>
      </c>
      <c r="F20" s="167">
        <f t="shared" si="8"/>
        <v>1.1824100389939685</v>
      </c>
      <c r="G20" s="152">
        <f>G21+G39</f>
        <v>39720009.796517</v>
      </c>
      <c r="H20" s="166">
        <f>H21+H39</f>
        <v>11544799.979017001</v>
      </c>
      <c r="I20" s="152">
        <f>I21+I39</f>
        <v>13088039.9315625</v>
      </c>
      <c r="J20" s="152">
        <f t="shared" ref="J20" si="12">J21+J39</f>
        <v>15087169.885937499</v>
      </c>
      <c r="K20" s="168">
        <f t="shared" si="3"/>
        <v>1.0378747677454938</v>
      </c>
      <c r="L20" s="168">
        <f t="shared" si="4"/>
        <v>1.1336740311958962</v>
      </c>
      <c r="M20" s="168">
        <f t="shared" si="4"/>
        <v>1.1527447933249342</v>
      </c>
      <c r="N20" s="152">
        <f t="shared" si="5"/>
        <v>421299.97901700065</v>
      </c>
      <c r="O20" s="152">
        <f t="shared" si="6"/>
        <v>1543239.9525454994</v>
      </c>
      <c r="P20" s="152">
        <f>J20-I20</f>
        <v>1999129.9543749988</v>
      </c>
    </row>
    <row r="21" spans="1:16" s="154" customFormat="1" ht="12.75">
      <c r="A21" s="164" t="s">
        <v>9</v>
      </c>
      <c r="B21" s="165" t="s">
        <v>129</v>
      </c>
      <c r="C21" s="166">
        <f>C23+C28+C31+C34+C35+C36+C37+C38</f>
        <v>10175308</v>
      </c>
      <c r="D21" s="166">
        <f>D23+D28+D31+D34+D35+D36+D37+D38</f>
        <v>11844500.513005409</v>
      </c>
      <c r="E21" s="152">
        <f t="shared" si="7"/>
        <v>1669192.5130054094</v>
      </c>
      <c r="F21" s="167">
        <f t="shared" si="8"/>
        <v>1.1640434385873537</v>
      </c>
      <c r="G21" s="152">
        <f>G23+G28+G31+G34+G35+G36+G37+G38</f>
        <v>33971757.796517</v>
      </c>
      <c r="H21" s="166">
        <f>H23+H28+H31+H34+H35+H36+H37+H38</f>
        <v>10317587.979017001</v>
      </c>
      <c r="I21" s="152">
        <f>I23+I28+I31+I34+I35+I36+I37+I38</f>
        <v>11139669.9315625</v>
      </c>
      <c r="J21" s="152">
        <f t="shared" ref="J21" si="13">J23+J28+J31+J34+J35+J36+J37+J38</f>
        <v>12514499.885937499</v>
      </c>
      <c r="K21" s="168">
        <f t="shared" si="3"/>
        <v>1.0139828670559161</v>
      </c>
      <c r="L21" s="168">
        <f>I21/H21</f>
        <v>1.0796777264431743</v>
      </c>
      <c r="M21" s="168">
        <f>J21/I21</f>
        <v>1.1234174767135277</v>
      </c>
      <c r="N21" s="152">
        <f t="shared" si="5"/>
        <v>142279.97901700065</v>
      </c>
      <c r="O21" s="152">
        <f>I21-H21</f>
        <v>822081.95254549943</v>
      </c>
      <c r="P21" s="152">
        <f>J21-I21</f>
        <v>1374829.9543749988</v>
      </c>
    </row>
    <row r="22" spans="1:16" s="155" customFormat="1" ht="38.25">
      <c r="A22" s="157" t="s">
        <v>85</v>
      </c>
      <c r="B22" s="150" t="s">
        <v>148</v>
      </c>
      <c r="C22" s="148">
        <f>C24+C28+C31+C34+C35+C36+C37+C38</f>
        <v>7691628</v>
      </c>
      <c r="D22" s="148">
        <f>D24+D28+D31+D34+D35+D36+D37+D38</f>
        <v>8378098.7100734105</v>
      </c>
      <c r="E22" s="149">
        <f t="shared" si="7"/>
        <v>686470.71007341053</v>
      </c>
      <c r="F22" s="158">
        <f t="shared" si="8"/>
        <v>1.089249078358107</v>
      </c>
      <c r="G22" s="149">
        <f t="shared" si="2"/>
        <v>27696717.796517</v>
      </c>
      <c r="H22" s="148">
        <f>H21-H25</f>
        <v>7568547.9790170006</v>
      </c>
      <c r="I22" s="149">
        <f t="shared" ref="I22:J22" si="14">I21-I25</f>
        <v>9353669.9315625001</v>
      </c>
      <c r="J22" s="149">
        <f t="shared" si="14"/>
        <v>10774499.885937499</v>
      </c>
      <c r="K22" s="159">
        <f t="shared" si="3"/>
        <v>0.98399818335169109</v>
      </c>
      <c r="L22" s="159">
        <f t="shared" si="4"/>
        <v>1.2358605583917235</v>
      </c>
      <c r="M22" s="159">
        <f t="shared" si="4"/>
        <v>1.151900800944518</v>
      </c>
      <c r="N22" s="149">
        <f t="shared" si="5"/>
        <v>-123080.02098299935</v>
      </c>
      <c r="O22" s="149">
        <f t="shared" si="6"/>
        <v>1785121.9525454994</v>
      </c>
      <c r="P22" s="149">
        <f t="shared" si="6"/>
        <v>1420829.9543749988</v>
      </c>
    </row>
    <row r="23" spans="1:16" s="156" customFormat="1" ht="12.75">
      <c r="A23" s="164">
        <v>1</v>
      </c>
      <c r="B23" s="165" t="s">
        <v>62</v>
      </c>
      <c r="C23" s="166">
        <f>C24+C25</f>
        <v>3147220</v>
      </c>
      <c r="D23" s="166">
        <f>D24+D25</f>
        <v>5392323.2990570003</v>
      </c>
      <c r="E23" s="152">
        <f t="shared" si="7"/>
        <v>2245103.2990570003</v>
      </c>
      <c r="F23" s="167">
        <f t="shared" si="8"/>
        <v>1.7133607752419597</v>
      </c>
      <c r="G23" s="171">
        <f t="shared" si="2"/>
        <v>10345230</v>
      </c>
      <c r="H23" s="166">
        <f>H24+H25</f>
        <v>3415450</v>
      </c>
      <c r="I23" s="152">
        <f>SUM(I24:I25)</f>
        <v>3334900</v>
      </c>
      <c r="J23" s="152">
        <f>SUM(J24:J25)</f>
        <v>3594880</v>
      </c>
      <c r="K23" s="168">
        <f t="shared" si="3"/>
        <v>1.0852275976893893</v>
      </c>
      <c r="L23" s="168">
        <f t="shared" si="4"/>
        <v>0.97641599203618845</v>
      </c>
      <c r="M23" s="168">
        <f t="shared" si="4"/>
        <v>1.0779573600407808</v>
      </c>
      <c r="N23" s="152">
        <f t="shared" si="5"/>
        <v>268230</v>
      </c>
      <c r="O23" s="152">
        <f t="shared" si="6"/>
        <v>-80550</v>
      </c>
      <c r="P23" s="152">
        <f t="shared" si="6"/>
        <v>259980</v>
      </c>
    </row>
    <row r="24" spans="1:16" s="160" customFormat="1" ht="38.25">
      <c r="A24" s="157"/>
      <c r="B24" s="150" t="s">
        <v>226</v>
      </c>
      <c r="C24" s="148">
        <f>3293520-(702080+81600+1700000)-146300</f>
        <v>663540</v>
      </c>
      <c r="D24" s="148">
        <f>5538623.299057-(667732.624215+72880+2725789.178717)-146300</f>
        <v>1925921.4961250005</v>
      </c>
      <c r="E24" s="149">
        <f t="shared" si="7"/>
        <v>1262381.4961250005</v>
      </c>
      <c r="F24" s="158">
        <f t="shared" si="8"/>
        <v>2.9024949454818105</v>
      </c>
      <c r="G24" s="163">
        <f t="shared" si="2"/>
        <v>4070190</v>
      </c>
      <c r="H24" s="148">
        <f>656410+10000</f>
        <v>666410</v>
      </c>
      <c r="I24" s="148">
        <f>3642490-66000-1720000-307590</f>
        <v>1548900</v>
      </c>
      <c r="J24" s="148">
        <f>4233080-1740000-638200</f>
        <v>1854880</v>
      </c>
      <c r="K24" s="159">
        <f t="shared" si="3"/>
        <v>1.0043252855894143</v>
      </c>
      <c r="L24" s="159">
        <f t="shared" si="4"/>
        <v>2.3242448342611906</v>
      </c>
      <c r="M24" s="159">
        <f t="shared" si="4"/>
        <v>1.1975466460068436</v>
      </c>
      <c r="N24" s="149">
        <f t="shared" si="5"/>
        <v>2870</v>
      </c>
      <c r="O24" s="149">
        <f t="shared" si="6"/>
        <v>882490</v>
      </c>
      <c r="P24" s="149">
        <f t="shared" si="6"/>
        <v>305980</v>
      </c>
    </row>
    <row r="25" spans="1:16" s="161" customFormat="1" ht="12.75">
      <c r="A25" s="157"/>
      <c r="B25" s="150" t="s">
        <v>130</v>
      </c>
      <c r="C25" s="149">
        <f>SUM(C26:C27)</f>
        <v>2483680</v>
      </c>
      <c r="D25" s="149">
        <f>SUM(D26:D27)</f>
        <v>3466401.8029319998</v>
      </c>
      <c r="E25" s="149">
        <f t="shared" si="7"/>
        <v>982721.80293199979</v>
      </c>
      <c r="F25" s="158">
        <f t="shared" si="8"/>
        <v>1.3956716658071893</v>
      </c>
      <c r="G25" s="163">
        <f t="shared" si="2"/>
        <v>6275040</v>
      </c>
      <c r="H25" s="149">
        <f>H26+H27</f>
        <v>2749040</v>
      </c>
      <c r="I25" s="149">
        <f>I26+I27</f>
        <v>1786000</v>
      </c>
      <c r="J25" s="149">
        <f>J26+J27</f>
        <v>1740000</v>
      </c>
      <c r="K25" s="159">
        <f t="shared" si="3"/>
        <v>1.1068414610577852</v>
      </c>
      <c r="L25" s="159">
        <f t="shared" si="4"/>
        <v>0.64968134330529925</v>
      </c>
      <c r="M25" s="159">
        <f t="shared" si="4"/>
        <v>0.97424412094064949</v>
      </c>
      <c r="N25" s="149">
        <f t="shared" si="5"/>
        <v>265360</v>
      </c>
      <c r="O25" s="149">
        <f t="shared" si="6"/>
        <v>-963040</v>
      </c>
      <c r="P25" s="149">
        <f t="shared" si="6"/>
        <v>-46000</v>
      </c>
    </row>
    <row r="26" spans="1:16" s="160" customFormat="1" ht="25.5">
      <c r="A26" s="157"/>
      <c r="B26" s="150" t="s">
        <v>131</v>
      </c>
      <c r="C26" s="149">
        <f>702080+81600</f>
        <v>783680</v>
      </c>
      <c r="D26" s="149">
        <f>667732.624215+72880</f>
        <v>740612.62421499996</v>
      </c>
      <c r="E26" s="149">
        <f t="shared" si="7"/>
        <v>-43067.37578500004</v>
      </c>
      <c r="F26" s="158">
        <f t="shared" si="8"/>
        <v>0.94504469198524899</v>
      </c>
      <c r="G26" s="163">
        <f t="shared" si="2"/>
        <v>1105040</v>
      </c>
      <c r="H26" s="149">
        <f>867120+171920</f>
        <v>1039040</v>
      </c>
      <c r="I26" s="149">
        <v>66000</v>
      </c>
      <c r="J26" s="149"/>
      <c r="K26" s="159">
        <f t="shared" si="3"/>
        <v>1.3258472846059617</v>
      </c>
      <c r="L26" s="159">
        <f t="shared" si="4"/>
        <v>6.3520172466892511E-2</v>
      </c>
      <c r="M26" s="159">
        <f t="shared" si="4"/>
        <v>0</v>
      </c>
      <c r="N26" s="149">
        <f t="shared" si="5"/>
        <v>255360</v>
      </c>
      <c r="O26" s="149">
        <f t="shared" si="6"/>
        <v>-973040</v>
      </c>
      <c r="P26" s="149">
        <f t="shared" si="6"/>
        <v>-66000</v>
      </c>
    </row>
    <row r="27" spans="1:16" s="160" customFormat="1" ht="12.75">
      <c r="A27" s="157"/>
      <c r="B27" s="150" t="s">
        <v>132</v>
      </c>
      <c r="C27" s="149">
        <f>1700000</f>
        <v>1700000</v>
      </c>
      <c r="D27" s="149">
        <v>2725789.1787169999</v>
      </c>
      <c r="E27" s="149">
        <f t="shared" si="7"/>
        <v>1025789.1787169999</v>
      </c>
      <c r="F27" s="158">
        <f t="shared" si="8"/>
        <v>1.6034053992452941</v>
      </c>
      <c r="G27" s="163">
        <f t="shared" si="2"/>
        <v>5170000</v>
      </c>
      <c r="H27" s="149">
        <v>1710000</v>
      </c>
      <c r="I27" s="149">
        <v>1720000</v>
      </c>
      <c r="J27" s="149">
        <v>1740000</v>
      </c>
      <c r="K27" s="159">
        <f t="shared" si="3"/>
        <v>1.0058823529411764</v>
      </c>
      <c r="L27" s="159">
        <f t="shared" si="4"/>
        <v>1.0058479532163742</v>
      </c>
      <c r="M27" s="159">
        <f t="shared" si="4"/>
        <v>1.0116279069767442</v>
      </c>
      <c r="N27" s="149">
        <f t="shared" si="5"/>
        <v>10000</v>
      </c>
      <c r="O27" s="149">
        <f t="shared" si="6"/>
        <v>10000</v>
      </c>
      <c r="P27" s="149">
        <f t="shared" si="6"/>
        <v>20000</v>
      </c>
    </row>
    <row r="28" spans="1:16" s="156" customFormat="1" ht="12.75">
      <c r="A28" s="164">
        <v>2</v>
      </c>
      <c r="B28" s="165" t="s">
        <v>45</v>
      </c>
      <c r="C28" s="166">
        <f>C29+C30</f>
        <v>5952978</v>
      </c>
      <c r="D28" s="166">
        <f>D29+D30</f>
        <v>6333607.6952484101</v>
      </c>
      <c r="E28" s="152">
        <f t="shared" si="7"/>
        <v>380629.69524841011</v>
      </c>
      <c r="F28" s="167">
        <f t="shared" si="8"/>
        <v>1.0639393754266202</v>
      </c>
      <c r="G28" s="171">
        <f t="shared" si="2"/>
        <v>21327077.602511276</v>
      </c>
      <c r="H28" s="166">
        <f>H29+H30</f>
        <v>6008148</v>
      </c>
      <c r="I28" s="166">
        <f t="shared" ref="I28:J28" si="15">I29+I30</f>
        <v>7277840.0409149854</v>
      </c>
      <c r="J28" s="166">
        <f t="shared" si="15"/>
        <v>8041089.5615962902</v>
      </c>
      <c r="K28" s="168">
        <f t="shared" si="3"/>
        <v>1.0092676304195984</v>
      </c>
      <c r="L28" s="168">
        <f t="shared" si="4"/>
        <v>1.2113283562447172</v>
      </c>
      <c r="M28" s="168">
        <f t="shared" si="4"/>
        <v>1.1048730827265265</v>
      </c>
      <c r="N28" s="171">
        <f t="shared" si="5"/>
        <v>55170</v>
      </c>
      <c r="O28" s="171">
        <f t="shared" si="6"/>
        <v>1269692.0409149854</v>
      </c>
      <c r="P28" s="171">
        <f t="shared" si="6"/>
        <v>763249.52068130486</v>
      </c>
    </row>
    <row r="29" spans="1:16" s="160" customFormat="1" ht="25.5">
      <c r="A29" s="157"/>
      <c r="B29" s="162" t="s">
        <v>174</v>
      </c>
      <c r="C29" s="148">
        <f>81600/2</f>
        <v>40800</v>
      </c>
      <c r="D29" s="148">
        <f>72880/2</f>
        <v>36440</v>
      </c>
      <c r="E29" s="149">
        <f t="shared" si="7"/>
        <v>-4360</v>
      </c>
      <c r="F29" s="158">
        <f t="shared" si="8"/>
        <v>0.89313725490196083</v>
      </c>
      <c r="G29" s="163">
        <f t="shared" si="2"/>
        <v>0</v>
      </c>
      <c r="H29" s="148"/>
      <c r="I29" s="149"/>
      <c r="J29" s="149"/>
      <c r="K29" s="159">
        <f t="shared" si="3"/>
        <v>0</v>
      </c>
      <c r="L29" s="159"/>
      <c r="M29" s="159"/>
      <c r="N29" s="163">
        <f t="shared" si="5"/>
        <v>-40800</v>
      </c>
      <c r="O29" s="163">
        <f t="shared" si="6"/>
        <v>0</v>
      </c>
      <c r="P29" s="163">
        <f t="shared" si="6"/>
        <v>0</v>
      </c>
    </row>
    <row r="30" spans="1:16" s="160" customFormat="1" ht="12.75">
      <c r="A30" s="157"/>
      <c r="B30" s="162" t="s">
        <v>48</v>
      </c>
      <c r="C30" s="148">
        <f>5952978-40800</f>
        <v>5912178</v>
      </c>
      <c r="D30" s="148">
        <f>6333607.69524841-36440</f>
        <v>6297167.6952484101</v>
      </c>
      <c r="E30" s="149">
        <f t="shared" si="7"/>
        <v>384989.69524841011</v>
      </c>
      <c r="F30" s="158">
        <f t="shared" si="8"/>
        <v>1.0651180825828332</v>
      </c>
      <c r="G30" s="163">
        <f t="shared" si="2"/>
        <v>21327077.602511276</v>
      </c>
      <c r="H30" s="148">
        <v>6008148</v>
      </c>
      <c r="I30" s="163">
        <v>7277840.0409149854</v>
      </c>
      <c r="J30" s="163">
        <v>8041089.5615962902</v>
      </c>
      <c r="K30" s="159">
        <f t="shared" si="3"/>
        <v>1.0162325965151928</v>
      </c>
      <c r="L30" s="159">
        <f t="shared" si="4"/>
        <v>1.2113283562447172</v>
      </c>
      <c r="M30" s="159">
        <f t="shared" si="4"/>
        <v>1.1048730827265265</v>
      </c>
      <c r="N30" s="163">
        <f t="shared" si="5"/>
        <v>95970</v>
      </c>
      <c r="O30" s="163">
        <f t="shared" si="6"/>
        <v>1269692.0409149854</v>
      </c>
      <c r="P30" s="163">
        <f t="shared" si="6"/>
        <v>763249.52068130486</v>
      </c>
    </row>
    <row r="31" spans="1:16" s="156" customFormat="1" ht="25.5">
      <c r="A31" s="164">
        <v>3</v>
      </c>
      <c r="B31" s="170" t="s">
        <v>231</v>
      </c>
      <c r="C31" s="166">
        <f>C32+C33</f>
        <v>1420</v>
      </c>
      <c r="D31" s="166">
        <f>D32+D33</f>
        <v>15442.518700000001</v>
      </c>
      <c r="E31" s="152">
        <f t="shared" si="7"/>
        <v>14022.518700000001</v>
      </c>
      <c r="F31" s="167">
        <f t="shared" si="8"/>
        <v>10.875013169014085</v>
      </c>
      <c r="G31" s="171">
        <f>SUM(G32:G33)</f>
        <v>4950.1940057244447</v>
      </c>
      <c r="H31" s="171">
        <f t="shared" ref="H31" si="16">SUM(H32:H33)</f>
        <v>1449.9790170000001</v>
      </c>
      <c r="I31" s="171">
        <f t="shared" ref="I31:J31" si="17">SUM(I32:I33)</f>
        <v>1699.8906475144443</v>
      </c>
      <c r="J31" s="171">
        <f t="shared" si="17"/>
        <v>1800.3243412100001</v>
      </c>
      <c r="K31" s="168">
        <f t="shared" si="3"/>
        <v>1.0211119838028171</v>
      </c>
      <c r="L31" s="168">
        <f t="shared" si="4"/>
        <v>1.17235534279076</v>
      </c>
      <c r="M31" s="168">
        <f t="shared" si="4"/>
        <v>1.0590824438280242</v>
      </c>
      <c r="N31" s="163">
        <f t="shared" si="5"/>
        <v>29.979017000000113</v>
      </c>
      <c r="O31" s="163">
        <f t="shared" si="6"/>
        <v>249.91163051444414</v>
      </c>
      <c r="P31" s="163">
        <f t="shared" si="6"/>
        <v>100.4336936955558</v>
      </c>
    </row>
    <row r="32" spans="1:16" s="160" customFormat="1" ht="12.75">
      <c r="A32" s="157"/>
      <c r="B32" s="162" t="s">
        <v>135</v>
      </c>
      <c r="C32" s="148">
        <v>0</v>
      </c>
      <c r="D32" s="148">
        <v>14758.701181</v>
      </c>
      <c r="E32" s="149">
        <f t="shared" si="7"/>
        <v>14758.701181</v>
      </c>
      <c r="F32" s="158"/>
      <c r="G32" s="163">
        <f t="shared" si="2"/>
        <v>0</v>
      </c>
      <c r="H32" s="148">
        <f>13160.483917-13160.483917</f>
        <v>0</v>
      </c>
      <c r="I32" s="149">
        <f>5189.739184-5189.739184</f>
        <v>0</v>
      </c>
      <c r="J32" s="149">
        <f>5189.739184-5189.739184</f>
        <v>0</v>
      </c>
      <c r="K32" s="159"/>
      <c r="L32" s="159"/>
      <c r="M32" s="159"/>
      <c r="N32" s="163"/>
      <c r="O32" s="163"/>
      <c r="P32" s="163"/>
    </row>
    <row r="33" spans="1:16" s="160" customFormat="1" ht="12.75">
      <c r="A33" s="157"/>
      <c r="B33" s="162" t="s">
        <v>136</v>
      </c>
      <c r="C33" s="148">
        <v>1420</v>
      </c>
      <c r="D33" s="148">
        <v>683.81751899999995</v>
      </c>
      <c r="E33" s="149">
        <f t="shared" si="7"/>
        <v>-736.18248100000005</v>
      </c>
      <c r="F33" s="158">
        <f t="shared" ref="F33" si="18">D33/C33</f>
        <v>0.48156163309859151</v>
      </c>
      <c r="G33" s="163">
        <f t="shared" si="2"/>
        <v>4950.1940057244447</v>
      </c>
      <c r="H33" s="149">
        <v>1449.9790170000001</v>
      </c>
      <c r="I33" s="149">
        <v>1699.8906475144443</v>
      </c>
      <c r="J33" s="163">
        <v>1800.3243412100001</v>
      </c>
      <c r="K33" s="159">
        <f t="shared" si="3"/>
        <v>1.0211119838028171</v>
      </c>
      <c r="L33" s="159">
        <f t="shared" si="4"/>
        <v>1.17235534279076</v>
      </c>
      <c r="M33" s="159">
        <f t="shared" si="4"/>
        <v>1.0590824438280242</v>
      </c>
      <c r="N33" s="163">
        <f>H33-C33</f>
        <v>29.979017000000113</v>
      </c>
      <c r="O33" s="163">
        <f t="shared" si="6"/>
        <v>249.91163051444414</v>
      </c>
      <c r="P33" s="163">
        <f t="shared" si="6"/>
        <v>100.4336936955558</v>
      </c>
    </row>
    <row r="34" spans="1:16" s="169" customFormat="1" ht="12.75">
      <c r="A34" s="164">
        <v>4</v>
      </c>
      <c r="B34" s="165" t="s">
        <v>137</v>
      </c>
      <c r="C34" s="166">
        <v>1000</v>
      </c>
      <c r="D34" s="166">
        <v>1000</v>
      </c>
      <c r="E34" s="152">
        <f t="shared" si="7"/>
        <v>0</v>
      </c>
      <c r="F34" s="167">
        <f t="shared" si="8"/>
        <v>1</v>
      </c>
      <c r="G34" s="171">
        <f t="shared" si="2"/>
        <v>3000</v>
      </c>
      <c r="H34" s="166">
        <v>1000</v>
      </c>
      <c r="I34" s="152">
        <v>1000</v>
      </c>
      <c r="J34" s="152">
        <v>1000</v>
      </c>
      <c r="K34" s="168">
        <f t="shared" si="3"/>
        <v>1</v>
      </c>
      <c r="L34" s="168">
        <f t="shared" si="4"/>
        <v>1</v>
      </c>
      <c r="M34" s="168">
        <f t="shared" si="4"/>
        <v>1</v>
      </c>
      <c r="N34" s="152">
        <f t="shared" si="5"/>
        <v>0</v>
      </c>
      <c r="O34" s="152">
        <f t="shared" si="6"/>
        <v>0</v>
      </c>
      <c r="P34" s="152">
        <f t="shared" si="6"/>
        <v>0</v>
      </c>
    </row>
    <row r="35" spans="1:16" s="169" customFormat="1" ht="25.5">
      <c r="A35" s="164">
        <v>5</v>
      </c>
      <c r="B35" s="170" t="s">
        <v>49</v>
      </c>
      <c r="C35" s="166">
        <v>5000</v>
      </c>
      <c r="D35" s="166">
        <v>23400</v>
      </c>
      <c r="E35" s="152">
        <f t="shared" si="7"/>
        <v>18400</v>
      </c>
      <c r="F35" s="167"/>
      <c r="G35" s="171">
        <f t="shared" si="2"/>
        <v>0</v>
      </c>
      <c r="H35" s="166"/>
      <c r="I35" s="152"/>
      <c r="J35" s="152"/>
      <c r="K35" s="168"/>
      <c r="L35" s="168"/>
      <c r="M35" s="168"/>
      <c r="N35" s="152">
        <f t="shared" si="5"/>
        <v>-5000</v>
      </c>
      <c r="O35" s="152">
        <f t="shared" si="6"/>
        <v>0</v>
      </c>
      <c r="P35" s="152">
        <f t="shared" si="6"/>
        <v>0</v>
      </c>
    </row>
    <row r="36" spans="1:16" s="169" customFormat="1" ht="12.75">
      <c r="A36" s="164">
        <v>6</v>
      </c>
      <c r="B36" s="165" t="s">
        <v>138</v>
      </c>
      <c r="C36" s="166">
        <v>200580</v>
      </c>
      <c r="D36" s="166">
        <v>0</v>
      </c>
      <c r="E36" s="152">
        <f t="shared" si="7"/>
        <v>-200580</v>
      </c>
      <c r="F36" s="167">
        <f t="shared" si="8"/>
        <v>0</v>
      </c>
      <c r="G36" s="171">
        <f t="shared" si="2"/>
        <v>660070</v>
      </c>
      <c r="H36" s="166">
        <v>205900</v>
      </c>
      <c r="I36" s="171">
        <v>216640</v>
      </c>
      <c r="J36" s="171">
        <v>237530</v>
      </c>
      <c r="K36" s="168">
        <f t="shared" si="3"/>
        <v>1.0265230830591285</v>
      </c>
      <c r="L36" s="168">
        <f t="shared" si="4"/>
        <v>1.0521612433220009</v>
      </c>
      <c r="M36" s="168">
        <f t="shared" si="4"/>
        <v>1.0964272525849335</v>
      </c>
      <c r="N36" s="171">
        <f t="shared" si="5"/>
        <v>5320</v>
      </c>
      <c r="O36" s="171">
        <f t="shared" si="6"/>
        <v>10740</v>
      </c>
      <c r="P36" s="171">
        <f t="shared" si="6"/>
        <v>20890</v>
      </c>
    </row>
    <row r="37" spans="1:16" s="169" customFormat="1" ht="12.75">
      <c r="A37" s="164">
        <v>7</v>
      </c>
      <c r="B37" s="170" t="s">
        <v>139</v>
      </c>
      <c r="C37" s="166">
        <v>720810</v>
      </c>
      <c r="D37" s="166">
        <v>0</v>
      </c>
      <c r="E37" s="152">
        <f t="shared" si="7"/>
        <v>-720810</v>
      </c>
      <c r="F37" s="167">
        <f t="shared" si="8"/>
        <v>0</v>
      </c>
      <c r="G37" s="171">
        <f t="shared" si="2"/>
        <v>661240</v>
      </c>
      <c r="H37" s="166">
        <v>661240</v>
      </c>
      <c r="I37" s="152"/>
      <c r="J37" s="152"/>
      <c r="K37" s="168">
        <f t="shared" si="3"/>
        <v>0.91735686241866787</v>
      </c>
      <c r="L37" s="168">
        <f t="shared" si="4"/>
        <v>0</v>
      </c>
      <c r="M37" s="168"/>
      <c r="N37" s="152">
        <f t="shared" si="5"/>
        <v>-59570</v>
      </c>
      <c r="O37" s="152">
        <f t="shared" si="6"/>
        <v>-661240</v>
      </c>
      <c r="P37" s="152">
        <f t="shared" si="6"/>
        <v>0</v>
      </c>
    </row>
    <row r="38" spans="1:16" s="169" customFormat="1" ht="12.75">
      <c r="A38" s="164">
        <v>8</v>
      </c>
      <c r="B38" s="170" t="s">
        <v>59</v>
      </c>
      <c r="C38" s="166">
        <v>146300</v>
      </c>
      <c r="D38" s="166">
        <v>78727</v>
      </c>
      <c r="E38" s="152">
        <f t="shared" si="7"/>
        <v>-67573</v>
      </c>
      <c r="F38" s="167"/>
      <c r="G38" s="171">
        <f t="shared" si="2"/>
        <v>970190</v>
      </c>
      <c r="H38" s="166">
        <v>24400</v>
      </c>
      <c r="I38" s="152">
        <v>307590</v>
      </c>
      <c r="J38" s="152">
        <v>638200</v>
      </c>
      <c r="K38" s="168">
        <f t="shared" si="3"/>
        <v>0.16678058783321942</v>
      </c>
      <c r="L38" s="168">
        <f t="shared" si="4"/>
        <v>12.606147540983606</v>
      </c>
      <c r="M38" s="168"/>
      <c r="N38" s="152">
        <f t="shared" si="5"/>
        <v>-121900</v>
      </c>
      <c r="O38" s="152">
        <f t="shared" si="6"/>
        <v>283190</v>
      </c>
      <c r="P38" s="152">
        <f t="shared" si="6"/>
        <v>330610</v>
      </c>
    </row>
    <row r="39" spans="1:16" s="169" customFormat="1" ht="25.5">
      <c r="A39" s="172" t="s">
        <v>21</v>
      </c>
      <c r="B39" s="173" t="s">
        <v>140</v>
      </c>
      <c r="C39" s="166">
        <f>C40+C43</f>
        <v>948192</v>
      </c>
      <c r="D39" s="166">
        <f>D40+D43</f>
        <v>1308037.555744</v>
      </c>
      <c r="E39" s="152">
        <f>E40+E43</f>
        <v>359845.55574399995</v>
      </c>
      <c r="F39" s="167">
        <f t="shared" si="8"/>
        <v>1.3795070573723465</v>
      </c>
      <c r="G39" s="152">
        <f>H39+I39+J39</f>
        <v>5748252</v>
      </c>
      <c r="H39" s="166">
        <f t="shared" ref="H39" si="19">H40+H43</f>
        <v>1227212</v>
      </c>
      <c r="I39" s="152">
        <f>I40+I43</f>
        <v>1948370</v>
      </c>
      <c r="J39" s="152">
        <f t="shared" ref="J39" si="20">J40+J43</f>
        <v>2572670</v>
      </c>
      <c r="K39" s="168">
        <f t="shared" si="3"/>
        <v>1.2942652964800379</v>
      </c>
      <c r="L39" s="168">
        <f t="shared" si="4"/>
        <v>1.5876392994853374</v>
      </c>
      <c r="M39" s="168">
        <f t="shared" si="4"/>
        <v>1.3204216858194286</v>
      </c>
      <c r="N39" s="152">
        <f t="shared" si="5"/>
        <v>279020</v>
      </c>
      <c r="O39" s="152">
        <f t="shared" si="6"/>
        <v>721158</v>
      </c>
      <c r="P39" s="152">
        <f t="shared" si="6"/>
        <v>624300</v>
      </c>
    </row>
    <row r="40" spans="1:16" s="169" customFormat="1" ht="25.5">
      <c r="A40" s="164">
        <v>1</v>
      </c>
      <c r="B40" s="170" t="s">
        <v>141</v>
      </c>
      <c r="C40" s="152">
        <f>C41+C42</f>
        <v>230370</v>
      </c>
      <c r="D40" s="152">
        <f t="shared" ref="D40:E40" si="21">D41+D42</f>
        <v>247683.909453</v>
      </c>
      <c r="E40" s="152">
        <f t="shared" si="21"/>
        <v>17313.909452999986</v>
      </c>
      <c r="F40" s="167">
        <f t="shared" si="8"/>
        <v>1.0751569625081392</v>
      </c>
      <c r="G40" s="152">
        <f>SUM(G41:G42)</f>
        <v>729800</v>
      </c>
      <c r="H40" s="152">
        <f t="shared" ref="H40" si="22">SUM(H41:H42)</f>
        <v>0</v>
      </c>
      <c r="I40" s="152">
        <f t="shared" ref="I40:J40" si="23">SUM(I41:I42)</f>
        <v>331730</v>
      </c>
      <c r="J40" s="152">
        <f t="shared" si="23"/>
        <v>398070</v>
      </c>
      <c r="K40" s="168">
        <f t="shared" si="3"/>
        <v>0</v>
      </c>
      <c r="L40" s="168"/>
      <c r="M40" s="168">
        <f t="shared" si="4"/>
        <v>1.1999819130015374</v>
      </c>
      <c r="N40" s="152">
        <f t="shared" si="5"/>
        <v>-230370</v>
      </c>
      <c r="O40" s="152">
        <f t="shared" si="6"/>
        <v>331730</v>
      </c>
      <c r="P40" s="152">
        <f t="shared" si="6"/>
        <v>66340</v>
      </c>
    </row>
    <row r="41" spans="1:16" s="160" customFormat="1" ht="12.75">
      <c r="A41" s="157"/>
      <c r="B41" s="150" t="s">
        <v>142</v>
      </c>
      <c r="C41" s="149">
        <v>181994</v>
      </c>
      <c r="D41" s="149">
        <v>197655.58312299999</v>
      </c>
      <c r="E41" s="149">
        <f t="shared" si="7"/>
        <v>15661.583122999989</v>
      </c>
      <c r="F41" s="158">
        <f t="shared" si="8"/>
        <v>1.0860554915162037</v>
      </c>
      <c r="G41" s="149">
        <f t="shared" si="2"/>
        <v>576550</v>
      </c>
      <c r="H41" s="260"/>
      <c r="I41" s="149">
        <v>262070</v>
      </c>
      <c r="J41" s="149">
        <v>314480</v>
      </c>
      <c r="K41" s="159">
        <f t="shared" si="3"/>
        <v>0</v>
      </c>
      <c r="L41" s="159"/>
      <c r="M41" s="159">
        <f t="shared" si="4"/>
        <v>1.1999847369023544</v>
      </c>
      <c r="N41" s="149">
        <f t="shared" si="5"/>
        <v>-181994</v>
      </c>
      <c r="O41" s="149">
        <f t="shared" si="6"/>
        <v>262070</v>
      </c>
      <c r="P41" s="149">
        <f t="shared" si="6"/>
        <v>52410</v>
      </c>
    </row>
    <row r="42" spans="1:16" s="160" customFormat="1" ht="12.75">
      <c r="A42" s="157"/>
      <c r="B42" s="150" t="s">
        <v>45</v>
      </c>
      <c r="C42" s="149">
        <v>48376</v>
      </c>
      <c r="D42" s="149">
        <v>50028.326329999996</v>
      </c>
      <c r="E42" s="149">
        <f t="shared" si="7"/>
        <v>1652.3263299999962</v>
      </c>
      <c r="F42" s="158">
        <f t="shared" si="8"/>
        <v>1.0341559105754918</v>
      </c>
      <c r="G42" s="262">
        <f t="shared" si="2"/>
        <v>153250</v>
      </c>
      <c r="H42" s="260"/>
      <c r="I42" s="149">
        <v>69660</v>
      </c>
      <c r="J42" s="149">
        <v>83590</v>
      </c>
      <c r="K42" s="159">
        <f t="shared" si="3"/>
        <v>0</v>
      </c>
      <c r="L42" s="159"/>
      <c r="M42" s="159">
        <f t="shared" si="4"/>
        <v>1.1999712891185759</v>
      </c>
      <c r="N42" s="149">
        <f t="shared" si="5"/>
        <v>-48376</v>
      </c>
      <c r="O42" s="149">
        <f t="shared" si="6"/>
        <v>69660</v>
      </c>
      <c r="P42" s="149">
        <f t="shared" si="6"/>
        <v>13930</v>
      </c>
    </row>
    <row r="43" spans="1:16" s="169" customFormat="1" ht="12.75">
      <c r="A43" s="164">
        <v>2</v>
      </c>
      <c r="B43" s="170" t="s">
        <v>50</v>
      </c>
      <c r="C43" s="152">
        <f>C44+C48</f>
        <v>717822</v>
      </c>
      <c r="D43" s="152">
        <f t="shared" ref="D43:E43" si="24">D44+D48</f>
        <v>1060353.6462910001</v>
      </c>
      <c r="E43" s="152">
        <f t="shared" si="24"/>
        <v>342531.64629099995</v>
      </c>
      <c r="F43" s="167">
        <f t="shared" si="8"/>
        <v>1.4771818727915835</v>
      </c>
      <c r="G43" s="263">
        <f t="shared" si="2"/>
        <v>5018452</v>
      </c>
      <c r="H43" s="152">
        <f>H44+H48</f>
        <v>1227212</v>
      </c>
      <c r="I43" s="152">
        <f>I44+I48</f>
        <v>1616640</v>
      </c>
      <c r="J43" s="152">
        <f>J44+J48</f>
        <v>2174600</v>
      </c>
      <c r="K43" s="168">
        <f t="shared" si="3"/>
        <v>1.7096327501804069</v>
      </c>
      <c r="L43" s="168">
        <f t="shared" si="4"/>
        <v>1.3173274055338442</v>
      </c>
      <c r="M43" s="168">
        <f t="shared" si="4"/>
        <v>1.3451355898653998</v>
      </c>
      <c r="N43" s="152">
        <f t="shared" si="5"/>
        <v>509390</v>
      </c>
      <c r="O43" s="152">
        <f t="shared" si="6"/>
        <v>389428</v>
      </c>
      <c r="P43" s="152">
        <f t="shared" si="6"/>
        <v>557960</v>
      </c>
    </row>
    <row r="44" spans="1:16" s="169" customFormat="1" ht="12.75">
      <c r="A44" s="174" t="s">
        <v>46</v>
      </c>
      <c r="B44" s="175" t="s">
        <v>142</v>
      </c>
      <c r="C44" s="152">
        <f>C45+C46+C47</f>
        <v>554350</v>
      </c>
      <c r="D44" s="152">
        <f t="shared" ref="D44:E44" si="25">D45+D46+D47</f>
        <v>860131.78771100007</v>
      </c>
      <c r="E44" s="152">
        <f t="shared" si="25"/>
        <v>305781.78771100001</v>
      </c>
      <c r="F44" s="167">
        <f t="shared" si="8"/>
        <v>1.5516041989916118</v>
      </c>
      <c r="G44" s="152">
        <f>SUM(G45:G47)</f>
        <v>4393410</v>
      </c>
      <c r="H44" s="152">
        <f t="shared" ref="H44" si="26">SUM(H45:H47)</f>
        <v>1114420</v>
      </c>
      <c r="I44" s="152">
        <f t="shared" ref="I44:J44" si="27">SUM(I45:I47)</f>
        <v>1383800</v>
      </c>
      <c r="J44" s="152">
        <f t="shared" si="27"/>
        <v>1895190</v>
      </c>
      <c r="K44" s="168">
        <f t="shared" si="3"/>
        <v>2.0103183909082709</v>
      </c>
      <c r="L44" s="168">
        <f t="shared" si="4"/>
        <v>1.2417221514330323</v>
      </c>
      <c r="M44" s="168">
        <f t="shared" si="4"/>
        <v>1.3695548489666136</v>
      </c>
      <c r="N44" s="152">
        <f t="shared" si="5"/>
        <v>560070</v>
      </c>
      <c r="O44" s="152">
        <f t="shared" si="6"/>
        <v>269380</v>
      </c>
      <c r="P44" s="152">
        <f t="shared" si="6"/>
        <v>511390</v>
      </c>
    </row>
    <row r="45" spans="1:16" s="160" customFormat="1" ht="12.75">
      <c r="A45" s="176"/>
      <c r="B45" s="150" t="s">
        <v>143</v>
      </c>
      <c r="C45" s="149">
        <v>192000</v>
      </c>
      <c r="D45" s="149">
        <v>192000</v>
      </c>
      <c r="E45" s="149">
        <f t="shared" si="7"/>
        <v>0</v>
      </c>
      <c r="F45" s="158">
        <f t="shared" si="8"/>
        <v>1</v>
      </c>
      <c r="G45" s="262">
        <f t="shared" si="2"/>
        <v>1386195</v>
      </c>
      <c r="H45" s="260">
        <v>406845</v>
      </c>
      <c r="I45" s="149">
        <v>338510</v>
      </c>
      <c r="J45" s="149">
        <v>640840</v>
      </c>
      <c r="K45" s="159">
        <f t="shared" si="3"/>
        <v>2.1189843750000001</v>
      </c>
      <c r="L45" s="159">
        <f>I45/H45</f>
        <v>0.83203677076036331</v>
      </c>
      <c r="M45" s="159">
        <f>J45/I45</f>
        <v>1.8931198487489291</v>
      </c>
      <c r="N45" s="149">
        <f t="shared" si="5"/>
        <v>214845</v>
      </c>
      <c r="O45" s="149">
        <f t="shared" si="6"/>
        <v>-68335</v>
      </c>
      <c r="P45" s="149">
        <f t="shared" si="6"/>
        <v>302330</v>
      </c>
    </row>
    <row r="46" spans="1:16" s="160" customFormat="1" ht="12.75">
      <c r="A46" s="176"/>
      <c r="B46" s="150" t="s">
        <v>144</v>
      </c>
      <c r="C46" s="149">
        <v>295900</v>
      </c>
      <c r="D46" s="149">
        <f>465471+17998</f>
        <v>483469</v>
      </c>
      <c r="E46" s="149">
        <f t="shared" si="7"/>
        <v>187569</v>
      </c>
      <c r="F46" s="158">
        <f t="shared" si="8"/>
        <v>1.6338932071645826</v>
      </c>
      <c r="G46" s="163">
        <f t="shared" si="2"/>
        <v>2575575</v>
      </c>
      <c r="H46" s="260">
        <v>707575</v>
      </c>
      <c r="I46" s="149">
        <v>849090</v>
      </c>
      <c r="J46" s="149">
        <v>1018910</v>
      </c>
      <c r="K46" s="159">
        <f t="shared" si="3"/>
        <v>2.3912639405204459</v>
      </c>
      <c r="L46" s="159">
        <f t="shared" si="4"/>
        <v>1.2</v>
      </c>
      <c r="M46" s="159">
        <f t="shared" si="4"/>
        <v>1.2000023554629073</v>
      </c>
      <c r="N46" s="149">
        <f t="shared" si="5"/>
        <v>411675</v>
      </c>
      <c r="O46" s="149">
        <f t="shared" si="6"/>
        <v>141515</v>
      </c>
      <c r="P46" s="149">
        <f t="shared" si="6"/>
        <v>169820</v>
      </c>
    </row>
    <row r="47" spans="1:16" s="160" customFormat="1" ht="12.75">
      <c r="A47" s="176"/>
      <c r="B47" s="150" t="s">
        <v>54</v>
      </c>
      <c r="C47" s="149">
        <v>66450</v>
      </c>
      <c r="D47" s="149">
        <v>184662.78771100001</v>
      </c>
      <c r="E47" s="149">
        <f t="shared" si="7"/>
        <v>118212.78771100001</v>
      </c>
      <c r="F47" s="158">
        <f t="shared" si="8"/>
        <v>2.7789734794732883</v>
      </c>
      <c r="G47" s="149">
        <f t="shared" si="2"/>
        <v>431640</v>
      </c>
      <c r="H47" s="260"/>
      <c r="I47" s="149">
        <v>196200</v>
      </c>
      <c r="J47" s="149">
        <v>235440</v>
      </c>
      <c r="K47" s="159">
        <f t="shared" si="3"/>
        <v>0</v>
      </c>
      <c r="L47" s="159"/>
      <c r="M47" s="159">
        <f t="shared" si="4"/>
        <v>1.2</v>
      </c>
      <c r="N47" s="149">
        <f t="shared" si="5"/>
        <v>-66450</v>
      </c>
      <c r="O47" s="149">
        <f t="shared" si="6"/>
        <v>196200</v>
      </c>
      <c r="P47" s="149">
        <f t="shared" si="6"/>
        <v>39240</v>
      </c>
    </row>
    <row r="48" spans="1:16" s="169" customFormat="1" ht="12.75">
      <c r="A48" s="174" t="s">
        <v>47</v>
      </c>
      <c r="B48" s="175" t="s">
        <v>45</v>
      </c>
      <c r="C48" s="152">
        <f>C49+C50</f>
        <v>163472</v>
      </c>
      <c r="D48" s="152">
        <f t="shared" ref="D48:E48" si="28">D49+D50</f>
        <v>200221.85857999997</v>
      </c>
      <c r="E48" s="152">
        <f t="shared" si="28"/>
        <v>36749.858579999971</v>
      </c>
      <c r="F48" s="167">
        <f t="shared" si="8"/>
        <v>1.2248082765244199</v>
      </c>
      <c r="G48" s="152">
        <f>SUM(G49:G50)</f>
        <v>625042</v>
      </c>
      <c r="H48" s="152">
        <f t="shared" ref="H48" si="29">SUM(H49:H50)</f>
        <v>112792</v>
      </c>
      <c r="I48" s="152">
        <f t="shared" ref="I48:J48" si="30">SUM(I49:I50)</f>
        <v>232840</v>
      </c>
      <c r="J48" s="152">
        <f t="shared" si="30"/>
        <v>279410</v>
      </c>
      <c r="K48" s="168">
        <f t="shared" si="3"/>
        <v>0.68997748849955953</v>
      </c>
      <c r="L48" s="168">
        <f t="shared" si="4"/>
        <v>2.0643308036030925</v>
      </c>
      <c r="M48" s="168">
        <f t="shared" si="4"/>
        <v>1.2000085895894177</v>
      </c>
      <c r="N48" s="152">
        <f t="shared" si="5"/>
        <v>-50680</v>
      </c>
      <c r="O48" s="152">
        <f t="shared" si="6"/>
        <v>120048</v>
      </c>
      <c r="P48" s="152">
        <f t="shared" si="6"/>
        <v>46570</v>
      </c>
    </row>
    <row r="49" spans="1:16" s="160" customFormat="1" ht="12.75">
      <c r="A49" s="176"/>
      <c r="B49" s="150" t="s">
        <v>52</v>
      </c>
      <c r="C49" s="149">
        <v>1780</v>
      </c>
      <c r="D49" s="149">
        <v>1780</v>
      </c>
      <c r="E49" s="149">
        <f t="shared" si="7"/>
        <v>0</v>
      </c>
      <c r="F49" s="158">
        <f t="shared" si="8"/>
        <v>1</v>
      </c>
      <c r="G49" s="177">
        <f t="shared" si="2"/>
        <v>430</v>
      </c>
      <c r="H49" s="260">
        <v>430</v>
      </c>
      <c r="I49" s="149"/>
      <c r="J49" s="149"/>
      <c r="K49" s="159">
        <f t="shared" si="3"/>
        <v>0.24157303370786518</v>
      </c>
      <c r="L49" s="159">
        <f t="shared" si="4"/>
        <v>0</v>
      </c>
      <c r="M49" s="159"/>
      <c r="N49" s="149">
        <f t="shared" si="5"/>
        <v>-1350</v>
      </c>
      <c r="O49" s="149">
        <f t="shared" si="6"/>
        <v>-430</v>
      </c>
      <c r="P49" s="149">
        <f t="shared" si="6"/>
        <v>0</v>
      </c>
    </row>
    <row r="50" spans="1:16" s="160" customFormat="1" ht="12.75">
      <c r="A50" s="176"/>
      <c r="B50" s="150" t="s">
        <v>53</v>
      </c>
      <c r="C50" s="149">
        <v>161692</v>
      </c>
      <c r="D50" s="149">
        <v>198441.85857999997</v>
      </c>
      <c r="E50" s="149">
        <f t="shared" si="7"/>
        <v>36749.858579999971</v>
      </c>
      <c r="F50" s="158">
        <f t="shared" si="8"/>
        <v>1.2272830973703088</v>
      </c>
      <c r="G50" s="149">
        <f t="shared" si="2"/>
        <v>624612</v>
      </c>
      <c r="H50" s="260">
        <v>112362</v>
      </c>
      <c r="I50" s="149">
        <v>232840</v>
      </c>
      <c r="J50" s="149">
        <v>279410</v>
      </c>
      <c r="K50" s="159">
        <f t="shared" si="3"/>
        <v>0.69491378670558845</v>
      </c>
      <c r="L50" s="159">
        <f t="shared" si="4"/>
        <v>2.0722308253680071</v>
      </c>
      <c r="M50" s="159">
        <f t="shared" si="4"/>
        <v>1.2000085895894177</v>
      </c>
      <c r="N50" s="149">
        <f t="shared" si="5"/>
        <v>-49330</v>
      </c>
      <c r="O50" s="149">
        <f t="shared" si="6"/>
        <v>120478</v>
      </c>
      <c r="P50" s="149">
        <f t="shared" si="6"/>
        <v>46570</v>
      </c>
    </row>
    <row r="51" spans="1:16" s="160" customFormat="1" ht="12.75">
      <c r="A51" s="176"/>
      <c r="B51" s="150" t="s">
        <v>145</v>
      </c>
      <c r="C51" s="149"/>
      <c r="D51" s="149"/>
      <c r="E51" s="149">
        <f t="shared" si="7"/>
        <v>0</v>
      </c>
      <c r="F51" s="158"/>
      <c r="G51" s="177">
        <f t="shared" si="2"/>
        <v>0</v>
      </c>
      <c r="H51" s="149"/>
      <c r="I51" s="149"/>
      <c r="J51" s="149"/>
      <c r="K51" s="159"/>
      <c r="L51" s="159"/>
      <c r="M51" s="159"/>
      <c r="N51" s="149">
        <f t="shared" si="5"/>
        <v>0</v>
      </c>
      <c r="O51" s="149">
        <f t="shared" si="6"/>
        <v>0</v>
      </c>
      <c r="P51" s="149">
        <f t="shared" si="6"/>
        <v>0</v>
      </c>
    </row>
    <row r="52" spans="1:16" s="160" customFormat="1" ht="12.75">
      <c r="A52" s="176"/>
      <c r="B52" s="150" t="s">
        <v>146</v>
      </c>
      <c r="C52" s="149"/>
      <c r="D52" s="149"/>
      <c r="E52" s="149"/>
      <c r="F52" s="158"/>
      <c r="G52" s="177">
        <f t="shared" si="2"/>
        <v>0</v>
      </c>
      <c r="H52" s="149"/>
      <c r="I52" s="149"/>
      <c r="J52" s="149"/>
      <c r="K52" s="159"/>
      <c r="L52" s="159"/>
      <c r="M52" s="159"/>
      <c r="N52" s="149"/>
      <c r="O52" s="149"/>
      <c r="P52" s="149"/>
    </row>
    <row r="53" spans="1:16" s="160" customFormat="1" ht="12.75">
      <c r="A53" s="176"/>
      <c r="B53" s="150" t="s">
        <v>147</v>
      </c>
      <c r="C53" s="149">
        <v>39480</v>
      </c>
      <c r="D53" s="149">
        <v>44874.434300000001</v>
      </c>
      <c r="E53" s="149">
        <f t="shared" si="7"/>
        <v>5394.4343000000008</v>
      </c>
      <c r="F53" s="158">
        <f t="shared" si="8"/>
        <v>1.1366371403242148</v>
      </c>
      <c r="G53" s="177">
        <f t="shared" si="2"/>
        <v>0</v>
      </c>
      <c r="H53" s="149"/>
      <c r="I53" s="177"/>
      <c r="J53" s="177"/>
      <c r="K53" s="159">
        <f t="shared" si="3"/>
        <v>0</v>
      </c>
      <c r="L53" s="159"/>
      <c r="M53" s="159"/>
      <c r="N53" s="177">
        <f t="shared" si="5"/>
        <v>-39480</v>
      </c>
      <c r="O53" s="177">
        <f t="shared" si="6"/>
        <v>0</v>
      </c>
      <c r="P53" s="177">
        <f t="shared" si="6"/>
        <v>0</v>
      </c>
    </row>
    <row r="54" spans="1:16" s="160" customFormat="1" ht="12.75">
      <c r="A54" s="178"/>
      <c r="B54" s="179"/>
      <c r="C54" s="180"/>
      <c r="D54" s="181"/>
      <c r="E54" s="182"/>
      <c r="F54" s="182"/>
      <c r="G54" s="129"/>
      <c r="H54" s="129"/>
      <c r="I54" s="183"/>
      <c r="J54" s="183"/>
      <c r="K54" s="184"/>
      <c r="L54" s="184"/>
      <c r="M54" s="184"/>
      <c r="N54" s="182"/>
      <c r="O54" s="182"/>
      <c r="P54" s="182"/>
    </row>
    <row r="55" spans="1:16" ht="69" customHeight="1">
      <c r="A55" s="185"/>
      <c r="B55" s="186"/>
      <c r="C55" s="187"/>
      <c r="D55" s="188"/>
      <c r="E55" s="189"/>
      <c r="F55" s="189"/>
      <c r="G55" s="190"/>
      <c r="H55" s="190"/>
      <c r="I55" s="191"/>
      <c r="J55" s="191"/>
      <c r="K55" s="192"/>
      <c r="L55" s="192"/>
      <c r="M55" s="192"/>
      <c r="N55" s="189"/>
      <c r="O55" s="189"/>
      <c r="P55" s="189"/>
    </row>
    <row r="62" spans="1:16">
      <c r="H62" s="193"/>
    </row>
    <row r="63" spans="1:16">
      <c r="H63" s="193"/>
    </row>
  </sheetData>
  <mergeCells count="12">
    <mergeCell ref="O1:P1"/>
    <mergeCell ref="A2:P2"/>
    <mergeCell ref="N4:P4"/>
    <mergeCell ref="A5:A6"/>
    <mergeCell ref="B5:B6"/>
    <mergeCell ref="C5:C6"/>
    <mergeCell ref="D5:D6"/>
    <mergeCell ref="E5:F5"/>
    <mergeCell ref="G5:G6"/>
    <mergeCell ref="H5:J5"/>
    <mergeCell ref="K5:M5"/>
    <mergeCell ref="N5:P5"/>
  </mergeCells>
  <printOptions horizontalCentered="1"/>
  <pageMargins left="0.23622047244094491" right="3.937007874015748E-2" top="0.74803149606299213" bottom="0.74803149606299213" header="0.31496062992125984" footer="0.31496062992125984"/>
  <pageSetup paperSize="9" scale="78" orientation="landscape" r:id="rId1"/>
  <headerFooter>
    <oddFooter>&amp;R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7"/>
  <sheetViews>
    <sheetView tabSelected="1" topLeftCell="A3" zoomScaleNormal="100" workbookViewId="0">
      <pane xSplit="2" ySplit="3" topLeftCell="C6" activePane="bottomRight" state="frozen"/>
      <selection activeCell="A3" sqref="A3"/>
      <selection pane="topRight" activeCell="C3" sqref="C3"/>
      <selection pane="bottomLeft" activeCell="A6" sqref="A6"/>
      <selection pane="bottomRight" activeCell="F10" sqref="F10"/>
    </sheetView>
  </sheetViews>
  <sheetFormatPr defaultColWidth="4" defaultRowHeight="15"/>
  <cols>
    <col min="1" max="1" width="5.42578125" style="22" customWidth="1"/>
    <col min="2" max="2" width="49.28515625" customWidth="1"/>
    <col min="3" max="3" width="11.28515625" style="14" customWidth="1"/>
    <col min="4" max="4" width="10.28515625" style="14" customWidth="1"/>
    <col min="5" max="5" width="11.28515625" style="14" bestFit="1" customWidth="1"/>
    <col min="6" max="6" width="11.42578125" style="15" customWidth="1"/>
    <col min="7" max="7" width="11.42578125" style="14" customWidth="1"/>
    <col min="8" max="8" width="11.42578125" style="15" customWidth="1"/>
    <col min="9" max="9" width="11.42578125" style="16" customWidth="1"/>
    <col min="10" max="10" width="11.85546875" customWidth="1"/>
    <col min="11" max="11" width="12.85546875" customWidth="1"/>
    <col min="12" max="12" width="12.140625" customWidth="1"/>
    <col min="13" max="14" width="10.140625" bestFit="1" customWidth="1"/>
    <col min="15" max="216" width="9.140625" customWidth="1"/>
    <col min="218" max="218" width="4" bestFit="1" customWidth="1"/>
    <col min="219" max="219" width="54.28515625" customWidth="1"/>
    <col min="220" max="223" width="12.5703125" customWidth="1"/>
    <col min="224" max="224" width="11.28515625" customWidth="1"/>
    <col min="225" max="225" width="11.5703125" customWidth="1"/>
    <col min="226" max="226" width="11.7109375" customWidth="1"/>
    <col min="227" max="227" width="13.28515625" customWidth="1"/>
    <col min="228" max="472" width="9.140625" customWidth="1"/>
    <col min="474" max="474" width="4" bestFit="1" customWidth="1"/>
    <col min="475" max="475" width="54.28515625" customWidth="1"/>
    <col min="476" max="479" width="12.5703125" customWidth="1"/>
    <col min="480" max="480" width="11.28515625" customWidth="1"/>
    <col min="481" max="481" width="11.5703125" customWidth="1"/>
    <col min="482" max="482" width="11.7109375" customWidth="1"/>
    <col min="483" max="483" width="13.28515625" customWidth="1"/>
    <col min="484" max="728" width="9.140625" customWidth="1"/>
    <col min="730" max="730" width="4" bestFit="1" customWidth="1"/>
    <col min="731" max="731" width="54.28515625" customWidth="1"/>
    <col min="732" max="735" width="12.5703125" customWidth="1"/>
    <col min="736" max="736" width="11.28515625" customWidth="1"/>
    <col min="737" max="737" width="11.5703125" customWidth="1"/>
    <col min="738" max="738" width="11.7109375" customWidth="1"/>
    <col min="739" max="739" width="13.28515625" customWidth="1"/>
    <col min="740" max="984" width="9.140625" customWidth="1"/>
    <col min="986" max="986" width="4" bestFit="1" customWidth="1"/>
    <col min="987" max="987" width="54.28515625" customWidth="1"/>
    <col min="988" max="991" width="12.5703125" customWidth="1"/>
    <col min="992" max="992" width="11.28515625" customWidth="1"/>
    <col min="993" max="993" width="11.5703125" customWidth="1"/>
    <col min="994" max="994" width="11.7109375" customWidth="1"/>
    <col min="995" max="995" width="13.28515625" customWidth="1"/>
    <col min="996" max="1240" width="9.140625" customWidth="1"/>
    <col min="1242" max="1242" width="4" bestFit="1" customWidth="1"/>
    <col min="1243" max="1243" width="54.28515625" customWidth="1"/>
    <col min="1244" max="1247" width="12.5703125" customWidth="1"/>
    <col min="1248" max="1248" width="11.28515625" customWidth="1"/>
    <col min="1249" max="1249" width="11.5703125" customWidth="1"/>
    <col min="1250" max="1250" width="11.7109375" customWidth="1"/>
    <col min="1251" max="1251" width="13.28515625" customWidth="1"/>
    <col min="1252" max="1496" width="9.140625" customWidth="1"/>
    <col min="1498" max="1498" width="4" bestFit="1" customWidth="1"/>
    <col min="1499" max="1499" width="54.28515625" customWidth="1"/>
    <col min="1500" max="1503" width="12.5703125" customWidth="1"/>
    <col min="1504" max="1504" width="11.28515625" customWidth="1"/>
    <col min="1505" max="1505" width="11.5703125" customWidth="1"/>
    <col min="1506" max="1506" width="11.7109375" customWidth="1"/>
    <col min="1507" max="1507" width="13.28515625" customWidth="1"/>
    <col min="1508" max="1752" width="9.140625" customWidth="1"/>
    <col min="1754" max="1754" width="4" bestFit="1" customWidth="1"/>
    <col min="1755" max="1755" width="54.28515625" customWidth="1"/>
    <col min="1756" max="1759" width="12.5703125" customWidth="1"/>
    <col min="1760" max="1760" width="11.28515625" customWidth="1"/>
    <col min="1761" max="1761" width="11.5703125" customWidth="1"/>
    <col min="1762" max="1762" width="11.7109375" customWidth="1"/>
    <col min="1763" max="1763" width="13.28515625" customWidth="1"/>
    <col min="1764" max="2008" width="9.140625" customWidth="1"/>
    <col min="2010" max="2010" width="4" bestFit="1" customWidth="1"/>
    <col min="2011" max="2011" width="54.28515625" customWidth="1"/>
    <col min="2012" max="2015" width="12.5703125" customWidth="1"/>
    <col min="2016" max="2016" width="11.28515625" customWidth="1"/>
    <col min="2017" max="2017" width="11.5703125" customWidth="1"/>
    <col min="2018" max="2018" width="11.7109375" customWidth="1"/>
    <col min="2019" max="2019" width="13.28515625" customWidth="1"/>
    <col min="2020" max="2264" width="9.140625" customWidth="1"/>
    <col min="2266" max="2266" width="4" bestFit="1" customWidth="1"/>
    <col min="2267" max="2267" width="54.28515625" customWidth="1"/>
    <col min="2268" max="2271" width="12.5703125" customWidth="1"/>
    <col min="2272" max="2272" width="11.28515625" customWidth="1"/>
    <col min="2273" max="2273" width="11.5703125" customWidth="1"/>
    <col min="2274" max="2274" width="11.7109375" customWidth="1"/>
    <col min="2275" max="2275" width="13.28515625" customWidth="1"/>
    <col min="2276" max="2520" width="9.140625" customWidth="1"/>
    <col min="2522" max="2522" width="4" bestFit="1" customWidth="1"/>
    <col min="2523" max="2523" width="54.28515625" customWidth="1"/>
    <col min="2524" max="2527" width="12.5703125" customWidth="1"/>
    <col min="2528" max="2528" width="11.28515625" customWidth="1"/>
    <col min="2529" max="2529" width="11.5703125" customWidth="1"/>
    <col min="2530" max="2530" width="11.7109375" customWidth="1"/>
    <col min="2531" max="2531" width="13.28515625" customWidth="1"/>
    <col min="2532" max="2776" width="9.140625" customWidth="1"/>
    <col min="2778" max="2778" width="4" bestFit="1" customWidth="1"/>
    <col min="2779" max="2779" width="54.28515625" customWidth="1"/>
    <col min="2780" max="2783" width="12.5703125" customWidth="1"/>
    <col min="2784" max="2784" width="11.28515625" customWidth="1"/>
    <col min="2785" max="2785" width="11.5703125" customWidth="1"/>
    <col min="2786" max="2786" width="11.7109375" customWidth="1"/>
    <col min="2787" max="2787" width="13.28515625" customWidth="1"/>
    <col min="2788" max="3032" width="9.140625" customWidth="1"/>
    <col min="3034" max="3034" width="4" bestFit="1" customWidth="1"/>
    <col min="3035" max="3035" width="54.28515625" customWidth="1"/>
    <col min="3036" max="3039" width="12.5703125" customWidth="1"/>
    <col min="3040" max="3040" width="11.28515625" customWidth="1"/>
    <col min="3041" max="3041" width="11.5703125" customWidth="1"/>
    <col min="3042" max="3042" width="11.7109375" customWidth="1"/>
    <col min="3043" max="3043" width="13.28515625" customWidth="1"/>
    <col min="3044" max="3288" width="9.140625" customWidth="1"/>
    <col min="3290" max="3290" width="4" bestFit="1" customWidth="1"/>
    <col min="3291" max="3291" width="54.28515625" customWidth="1"/>
    <col min="3292" max="3295" width="12.5703125" customWidth="1"/>
    <col min="3296" max="3296" width="11.28515625" customWidth="1"/>
    <col min="3297" max="3297" width="11.5703125" customWidth="1"/>
    <col min="3298" max="3298" width="11.7109375" customWidth="1"/>
    <col min="3299" max="3299" width="13.28515625" customWidth="1"/>
    <col min="3300" max="3544" width="9.140625" customWidth="1"/>
    <col min="3546" max="3546" width="4" bestFit="1" customWidth="1"/>
    <col min="3547" max="3547" width="54.28515625" customWidth="1"/>
    <col min="3548" max="3551" width="12.5703125" customWidth="1"/>
    <col min="3552" max="3552" width="11.28515625" customWidth="1"/>
    <col min="3553" max="3553" width="11.5703125" customWidth="1"/>
    <col min="3554" max="3554" width="11.7109375" customWidth="1"/>
    <col min="3555" max="3555" width="13.28515625" customWidth="1"/>
    <col min="3556" max="3800" width="9.140625" customWidth="1"/>
    <col min="3802" max="3802" width="4" bestFit="1" customWidth="1"/>
    <col min="3803" max="3803" width="54.28515625" customWidth="1"/>
    <col min="3804" max="3807" width="12.5703125" customWidth="1"/>
    <col min="3808" max="3808" width="11.28515625" customWidth="1"/>
    <col min="3809" max="3809" width="11.5703125" customWidth="1"/>
    <col min="3810" max="3810" width="11.7109375" customWidth="1"/>
    <col min="3811" max="3811" width="13.28515625" customWidth="1"/>
    <col min="3812" max="4056" width="9.140625" customWidth="1"/>
    <col min="4058" max="4058" width="4" bestFit="1" customWidth="1"/>
    <col min="4059" max="4059" width="54.28515625" customWidth="1"/>
    <col min="4060" max="4063" width="12.5703125" customWidth="1"/>
    <col min="4064" max="4064" width="11.28515625" customWidth="1"/>
    <col min="4065" max="4065" width="11.5703125" customWidth="1"/>
    <col min="4066" max="4066" width="11.7109375" customWidth="1"/>
    <col min="4067" max="4067" width="13.28515625" customWidth="1"/>
    <col min="4068" max="4312" width="9.140625" customWidth="1"/>
    <col min="4314" max="4314" width="4" bestFit="1" customWidth="1"/>
    <col min="4315" max="4315" width="54.28515625" customWidth="1"/>
    <col min="4316" max="4319" width="12.5703125" customWidth="1"/>
    <col min="4320" max="4320" width="11.28515625" customWidth="1"/>
    <col min="4321" max="4321" width="11.5703125" customWidth="1"/>
    <col min="4322" max="4322" width="11.7109375" customWidth="1"/>
    <col min="4323" max="4323" width="13.28515625" customWidth="1"/>
    <col min="4324" max="4568" width="9.140625" customWidth="1"/>
    <col min="4570" max="4570" width="4" bestFit="1" customWidth="1"/>
    <col min="4571" max="4571" width="54.28515625" customWidth="1"/>
    <col min="4572" max="4575" width="12.5703125" customWidth="1"/>
    <col min="4576" max="4576" width="11.28515625" customWidth="1"/>
    <col min="4577" max="4577" width="11.5703125" customWidth="1"/>
    <col min="4578" max="4578" width="11.7109375" customWidth="1"/>
    <col min="4579" max="4579" width="13.28515625" customWidth="1"/>
    <col min="4580" max="4824" width="9.140625" customWidth="1"/>
    <col min="4826" max="4826" width="4" bestFit="1" customWidth="1"/>
    <col min="4827" max="4827" width="54.28515625" customWidth="1"/>
    <col min="4828" max="4831" width="12.5703125" customWidth="1"/>
    <col min="4832" max="4832" width="11.28515625" customWidth="1"/>
    <col min="4833" max="4833" width="11.5703125" customWidth="1"/>
    <col min="4834" max="4834" width="11.7109375" customWidth="1"/>
    <col min="4835" max="4835" width="13.28515625" customWidth="1"/>
    <col min="4836" max="5080" width="9.140625" customWidth="1"/>
    <col min="5082" max="5082" width="4" bestFit="1" customWidth="1"/>
    <col min="5083" max="5083" width="54.28515625" customWidth="1"/>
    <col min="5084" max="5087" width="12.5703125" customWidth="1"/>
    <col min="5088" max="5088" width="11.28515625" customWidth="1"/>
    <col min="5089" max="5089" width="11.5703125" customWidth="1"/>
    <col min="5090" max="5090" width="11.7109375" customWidth="1"/>
    <col min="5091" max="5091" width="13.28515625" customWidth="1"/>
    <col min="5092" max="5336" width="9.140625" customWidth="1"/>
    <col min="5338" max="5338" width="4" bestFit="1" customWidth="1"/>
    <col min="5339" max="5339" width="54.28515625" customWidth="1"/>
    <col min="5340" max="5343" width="12.5703125" customWidth="1"/>
    <col min="5344" max="5344" width="11.28515625" customWidth="1"/>
    <col min="5345" max="5345" width="11.5703125" customWidth="1"/>
    <col min="5346" max="5346" width="11.7109375" customWidth="1"/>
    <col min="5347" max="5347" width="13.28515625" customWidth="1"/>
    <col min="5348" max="5592" width="9.140625" customWidth="1"/>
    <col min="5594" max="5594" width="4" bestFit="1" customWidth="1"/>
    <col min="5595" max="5595" width="54.28515625" customWidth="1"/>
    <col min="5596" max="5599" width="12.5703125" customWidth="1"/>
    <col min="5600" max="5600" width="11.28515625" customWidth="1"/>
    <col min="5601" max="5601" width="11.5703125" customWidth="1"/>
    <col min="5602" max="5602" width="11.7109375" customWidth="1"/>
    <col min="5603" max="5603" width="13.28515625" customWidth="1"/>
    <col min="5604" max="5848" width="9.140625" customWidth="1"/>
    <col min="5850" max="5850" width="4" bestFit="1" customWidth="1"/>
    <col min="5851" max="5851" width="54.28515625" customWidth="1"/>
    <col min="5852" max="5855" width="12.5703125" customWidth="1"/>
    <col min="5856" max="5856" width="11.28515625" customWidth="1"/>
    <col min="5857" max="5857" width="11.5703125" customWidth="1"/>
    <col min="5858" max="5858" width="11.7109375" customWidth="1"/>
    <col min="5859" max="5859" width="13.28515625" customWidth="1"/>
    <col min="5860" max="6104" width="9.140625" customWidth="1"/>
    <col min="6106" max="6106" width="4" bestFit="1" customWidth="1"/>
    <col min="6107" max="6107" width="54.28515625" customWidth="1"/>
    <col min="6108" max="6111" width="12.5703125" customWidth="1"/>
    <col min="6112" max="6112" width="11.28515625" customWidth="1"/>
    <col min="6113" max="6113" width="11.5703125" customWidth="1"/>
    <col min="6114" max="6114" width="11.7109375" customWidth="1"/>
    <col min="6115" max="6115" width="13.28515625" customWidth="1"/>
    <col min="6116" max="6360" width="9.140625" customWidth="1"/>
    <col min="6362" max="6362" width="4" bestFit="1" customWidth="1"/>
    <col min="6363" max="6363" width="54.28515625" customWidth="1"/>
    <col min="6364" max="6367" width="12.5703125" customWidth="1"/>
    <col min="6368" max="6368" width="11.28515625" customWidth="1"/>
    <col min="6369" max="6369" width="11.5703125" customWidth="1"/>
    <col min="6370" max="6370" width="11.7109375" customWidth="1"/>
    <col min="6371" max="6371" width="13.28515625" customWidth="1"/>
    <col min="6372" max="6616" width="9.140625" customWidth="1"/>
    <col min="6618" max="6618" width="4" bestFit="1" customWidth="1"/>
    <col min="6619" max="6619" width="54.28515625" customWidth="1"/>
    <col min="6620" max="6623" width="12.5703125" customWidth="1"/>
    <col min="6624" max="6624" width="11.28515625" customWidth="1"/>
    <col min="6625" max="6625" width="11.5703125" customWidth="1"/>
    <col min="6626" max="6626" width="11.7109375" customWidth="1"/>
    <col min="6627" max="6627" width="13.28515625" customWidth="1"/>
    <col min="6628" max="6872" width="9.140625" customWidth="1"/>
    <col min="6874" max="6874" width="4" bestFit="1" customWidth="1"/>
    <col min="6875" max="6875" width="54.28515625" customWidth="1"/>
    <col min="6876" max="6879" width="12.5703125" customWidth="1"/>
    <col min="6880" max="6880" width="11.28515625" customWidth="1"/>
    <col min="6881" max="6881" width="11.5703125" customWidth="1"/>
    <col min="6882" max="6882" width="11.7109375" customWidth="1"/>
    <col min="6883" max="6883" width="13.28515625" customWidth="1"/>
    <col min="6884" max="7128" width="9.140625" customWidth="1"/>
    <col min="7130" max="7130" width="4" bestFit="1" customWidth="1"/>
    <col min="7131" max="7131" width="54.28515625" customWidth="1"/>
    <col min="7132" max="7135" width="12.5703125" customWidth="1"/>
    <col min="7136" max="7136" width="11.28515625" customWidth="1"/>
    <col min="7137" max="7137" width="11.5703125" customWidth="1"/>
    <col min="7138" max="7138" width="11.7109375" customWidth="1"/>
    <col min="7139" max="7139" width="13.28515625" customWidth="1"/>
    <col min="7140" max="7384" width="9.140625" customWidth="1"/>
    <col min="7386" max="7386" width="4" bestFit="1" customWidth="1"/>
    <col min="7387" max="7387" width="54.28515625" customWidth="1"/>
    <col min="7388" max="7391" width="12.5703125" customWidth="1"/>
    <col min="7392" max="7392" width="11.28515625" customWidth="1"/>
    <col min="7393" max="7393" width="11.5703125" customWidth="1"/>
    <col min="7394" max="7394" width="11.7109375" customWidth="1"/>
    <col min="7395" max="7395" width="13.28515625" customWidth="1"/>
    <col min="7396" max="7640" width="9.140625" customWidth="1"/>
    <col min="7642" max="7642" width="4" bestFit="1" customWidth="1"/>
    <col min="7643" max="7643" width="54.28515625" customWidth="1"/>
    <col min="7644" max="7647" width="12.5703125" customWidth="1"/>
    <col min="7648" max="7648" width="11.28515625" customWidth="1"/>
    <col min="7649" max="7649" width="11.5703125" customWidth="1"/>
    <col min="7650" max="7650" width="11.7109375" customWidth="1"/>
    <col min="7651" max="7651" width="13.28515625" customWidth="1"/>
    <col min="7652" max="7896" width="9.140625" customWidth="1"/>
    <col min="7898" max="7898" width="4" bestFit="1" customWidth="1"/>
    <col min="7899" max="7899" width="54.28515625" customWidth="1"/>
    <col min="7900" max="7903" width="12.5703125" customWidth="1"/>
    <col min="7904" max="7904" width="11.28515625" customWidth="1"/>
    <col min="7905" max="7905" width="11.5703125" customWidth="1"/>
    <col min="7906" max="7906" width="11.7109375" customWidth="1"/>
    <col min="7907" max="7907" width="13.28515625" customWidth="1"/>
    <col min="7908" max="8152" width="9.140625" customWidth="1"/>
    <col min="8154" max="8154" width="4" bestFit="1" customWidth="1"/>
    <col min="8155" max="8155" width="54.28515625" customWidth="1"/>
    <col min="8156" max="8159" width="12.5703125" customWidth="1"/>
    <col min="8160" max="8160" width="11.28515625" customWidth="1"/>
    <col min="8161" max="8161" width="11.5703125" customWidth="1"/>
    <col min="8162" max="8162" width="11.7109375" customWidth="1"/>
    <col min="8163" max="8163" width="13.28515625" customWidth="1"/>
    <col min="8164" max="8408" width="9.140625" customWidth="1"/>
    <col min="8410" max="8410" width="4" bestFit="1" customWidth="1"/>
    <col min="8411" max="8411" width="54.28515625" customWidth="1"/>
    <col min="8412" max="8415" width="12.5703125" customWidth="1"/>
    <col min="8416" max="8416" width="11.28515625" customWidth="1"/>
    <col min="8417" max="8417" width="11.5703125" customWidth="1"/>
    <col min="8418" max="8418" width="11.7109375" customWidth="1"/>
    <col min="8419" max="8419" width="13.28515625" customWidth="1"/>
    <col min="8420" max="8664" width="9.140625" customWidth="1"/>
    <col min="8666" max="8666" width="4" bestFit="1" customWidth="1"/>
    <col min="8667" max="8667" width="54.28515625" customWidth="1"/>
    <col min="8668" max="8671" width="12.5703125" customWidth="1"/>
    <col min="8672" max="8672" width="11.28515625" customWidth="1"/>
    <col min="8673" max="8673" width="11.5703125" customWidth="1"/>
    <col min="8674" max="8674" width="11.7109375" customWidth="1"/>
    <col min="8675" max="8675" width="13.28515625" customWidth="1"/>
    <col min="8676" max="8920" width="9.140625" customWidth="1"/>
    <col min="8922" max="8922" width="4" bestFit="1" customWidth="1"/>
    <col min="8923" max="8923" width="54.28515625" customWidth="1"/>
    <col min="8924" max="8927" width="12.5703125" customWidth="1"/>
    <col min="8928" max="8928" width="11.28515625" customWidth="1"/>
    <col min="8929" max="8929" width="11.5703125" customWidth="1"/>
    <col min="8930" max="8930" width="11.7109375" customWidth="1"/>
    <col min="8931" max="8931" width="13.28515625" customWidth="1"/>
    <col min="8932" max="9176" width="9.140625" customWidth="1"/>
    <col min="9178" max="9178" width="4" bestFit="1" customWidth="1"/>
    <col min="9179" max="9179" width="54.28515625" customWidth="1"/>
    <col min="9180" max="9183" width="12.5703125" customWidth="1"/>
    <col min="9184" max="9184" width="11.28515625" customWidth="1"/>
    <col min="9185" max="9185" width="11.5703125" customWidth="1"/>
    <col min="9186" max="9186" width="11.7109375" customWidth="1"/>
    <col min="9187" max="9187" width="13.28515625" customWidth="1"/>
    <col min="9188" max="9432" width="9.140625" customWidth="1"/>
    <col min="9434" max="9434" width="4" bestFit="1" customWidth="1"/>
    <col min="9435" max="9435" width="54.28515625" customWidth="1"/>
    <col min="9436" max="9439" width="12.5703125" customWidth="1"/>
    <col min="9440" max="9440" width="11.28515625" customWidth="1"/>
    <col min="9441" max="9441" width="11.5703125" customWidth="1"/>
    <col min="9442" max="9442" width="11.7109375" customWidth="1"/>
    <col min="9443" max="9443" width="13.28515625" customWidth="1"/>
    <col min="9444" max="9688" width="9.140625" customWidth="1"/>
    <col min="9690" max="9690" width="4" bestFit="1" customWidth="1"/>
    <col min="9691" max="9691" width="54.28515625" customWidth="1"/>
    <col min="9692" max="9695" width="12.5703125" customWidth="1"/>
    <col min="9696" max="9696" width="11.28515625" customWidth="1"/>
    <col min="9697" max="9697" width="11.5703125" customWidth="1"/>
    <col min="9698" max="9698" width="11.7109375" customWidth="1"/>
    <col min="9699" max="9699" width="13.28515625" customWidth="1"/>
    <col min="9700" max="9944" width="9.140625" customWidth="1"/>
    <col min="9946" max="9946" width="4" bestFit="1" customWidth="1"/>
    <col min="9947" max="9947" width="54.28515625" customWidth="1"/>
    <col min="9948" max="9951" width="12.5703125" customWidth="1"/>
    <col min="9952" max="9952" width="11.28515625" customWidth="1"/>
    <col min="9953" max="9953" width="11.5703125" customWidth="1"/>
    <col min="9954" max="9954" width="11.7109375" customWidth="1"/>
    <col min="9955" max="9955" width="13.28515625" customWidth="1"/>
    <col min="9956" max="10200" width="9.140625" customWidth="1"/>
    <col min="10202" max="10202" width="4" bestFit="1" customWidth="1"/>
    <col min="10203" max="10203" width="54.28515625" customWidth="1"/>
    <col min="10204" max="10207" width="12.5703125" customWidth="1"/>
    <col min="10208" max="10208" width="11.28515625" customWidth="1"/>
    <col min="10209" max="10209" width="11.5703125" customWidth="1"/>
    <col min="10210" max="10210" width="11.7109375" customWidth="1"/>
    <col min="10211" max="10211" width="13.28515625" customWidth="1"/>
    <col min="10212" max="10456" width="9.140625" customWidth="1"/>
    <col min="10458" max="10458" width="4" bestFit="1" customWidth="1"/>
    <col min="10459" max="10459" width="54.28515625" customWidth="1"/>
    <col min="10460" max="10463" width="12.5703125" customWidth="1"/>
    <col min="10464" max="10464" width="11.28515625" customWidth="1"/>
    <col min="10465" max="10465" width="11.5703125" customWidth="1"/>
    <col min="10466" max="10466" width="11.7109375" customWidth="1"/>
    <col min="10467" max="10467" width="13.28515625" customWidth="1"/>
    <col min="10468" max="10712" width="9.140625" customWidth="1"/>
    <col min="10714" max="10714" width="4" bestFit="1" customWidth="1"/>
    <col min="10715" max="10715" width="54.28515625" customWidth="1"/>
    <col min="10716" max="10719" width="12.5703125" customWidth="1"/>
    <col min="10720" max="10720" width="11.28515625" customWidth="1"/>
    <col min="10721" max="10721" width="11.5703125" customWidth="1"/>
    <col min="10722" max="10722" width="11.7109375" customWidth="1"/>
    <col min="10723" max="10723" width="13.28515625" customWidth="1"/>
    <col min="10724" max="10968" width="9.140625" customWidth="1"/>
    <col min="10970" max="10970" width="4" bestFit="1" customWidth="1"/>
    <col min="10971" max="10971" width="54.28515625" customWidth="1"/>
    <col min="10972" max="10975" width="12.5703125" customWidth="1"/>
    <col min="10976" max="10976" width="11.28515625" customWidth="1"/>
    <col min="10977" max="10977" width="11.5703125" customWidth="1"/>
    <col min="10978" max="10978" width="11.7109375" customWidth="1"/>
    <col min="10979" max="10979" width="13.28515625" customWidth="1"/>
    <col min="10980" max="11224" width="9.140625" customWidth="1"/>
    <col min="11226" max="11226" width="4" bestFit="1" customWidth="1"/>
    <col min="11227" max="11227" width="54.28515625" customWidth="1"/>
    <col min="11228" max="11231" width="12.5703125" customWidth="1"/>
    <col min="11232" max="11232" width="11.28515625" customWidth="1"/>
    <col min="11233" max="11233" width="11.5703125" customWidth="1"/>
    <col min="11234" max="11234" width="11.7109375" customWidth="1"/>
    <col min="11235" max="11235" width="13.28515625" customWidth="1"/>
    <col min="11236" max="11480" width="9.140625" customWidth="1"/>
    <col min="11482" max="11482" width="4" bestFit="1" customWidth="1"/>
    <col min="11483" max="11483" width="54.28515625" customWidth="1"/>
    <col min="11484" max="11487" width="12.5703125" customWidth="1"/>
    <col min="11488" max="11488" width="11.28515625" customWidth="1"/>
    <col min="11489" max="11489" width="11.5703125" customWidth="1"/>
    <col min="11490" max="11490" width="11.7109375" customWidth="1"/>
    <col min="11491" max="11491" width="13.28515625" customWidth="1"/>
    <col min="11492" max="11736" width="9.140625" customWidth="1"/>
    <col min="11738" max="11738" width="4" bestFit="1" customWidth="1"/>
    <col min="11739" max="11739" width="54.28515625" customWidth="1"/>
    <col min="11740" max="11743" width="12.5703125" customWidth="1"/>
    <col min="11744" max="11744" width="11.28515625" customWidth="1"/>
    <col min="11745" max="11745" width="11.5703125" customWidth="1"/>
    <col min="11746" max="11746" width="11.7109375" customWidth="1"/>
    <col min="11747" max="11747" width="13.28515625" customWidth="1"/>
    <col min="11748" max="11992" width="9.140625" customWidth="1"/>
    <col min="11994" max="11994" width="4" bestFit="1" customWidth="1"/>
    <col min="11995" max="11995" width="54.28515625" customWidth="1"/>
    <col min="11996" max="11999" width="12.5703125" customWidth="1"/>
    <col min="12000" max="12000" width="11.28515625" customWidth="1"/>
    <col min="12001" max="12001" width="11.5703125" customWidth="1"/>
    <col min="12002" max="12002" width="11.7109375" customWidth="1"/>
    <col min="12003" max="12003" width="13.28515625" customWidth="1"/>
    <col min="12004" max="12248" width="9.140625" customWidth="1"/>
    <col min="12250" max="12250" width="4" bestFit="1" customWidth="1"/>
    <col min="12251" max="12251" width="54.28515625" customWidth="1"/>
    <col min="12252" max="12255" width="12.5703125" customWidth="1"/>
    <col min="12256" max="12256" width="11.28515625" customWidth="1"/>
    <col min="12257" max="12257" width="11.5703125" customWidth="1"/>
    <col min="12258" max="12258" width="11.7109375" customWidth="1"/>
    <col min="12259" max="12259" width="13.28515625" customWidth="1"/>
    <col min="12260" max="12504" width="9.140625" customWidth="1"/>
    <col min="12506" max="12506" width="4" bestFit="1" customWidth="1"/>
    <col min="12507" max="12507" width="54.28515625" customWidth="1"/>
    <col min="12508" max="12511" width="12.5703125" customWidth="1"/>
    <col min="12512" max="12512" width="11.28515625" customWidth="1"/>
    <col min="12513" max="12513" width="11.5703125" customWidth="1"/>
    <col min="12514" max="12514" width="11.7109375" customWidth="1"/>
    <col min="12515" max="12515" width="13.28515625" customWidth="1"/>
    <col min="12516" max="12760" width="9.140625" customWidth="1"/>
    <col min="12762" max="12762" width="4" bestFit="1" customWidth="1"/>
    <col min="12763" max="12763" width="54.28515625" customWidth="1"/>
    <col min="12764" max="12767" width="12.5703125" customWidth="1"/>
    <col min="12768" max="12768" width="11.28515625" customWidth="1"/>
    <col min="12769" max="12769" width="11.5703125" customWidth="1"/>
    <col min="12770" max="12770" width="11.7109375" customWidth="1"/>
    <col min="12771" max="12771" width="13.28515625" customWidth="1"/>
    <col min="12772" max="13016" width="9.140625" customWidth="1"/>
    <col min="13018" max="13018" width="4" bestFit="1" customWidth="1"/>
    <col min="13019" max="13019" width="54.28515625" customWidth="1"/>
    <col min="13020" max="13023" width="12.5703125" customWidth="1"/>
    <col min="13024" max="13024" width="11.28515625" customWidth="1"/>
    <col min="13025" max="13025" width="11.5703125" customWidth="1"/>
    <col min="13026" max="13026" width="11.7109375" customWidth="1"/>
    <col min="13027" max="13027" width="13.28515625" customWidth="1"/>
    <col min="13028" max="13272" width="9.140625" customWidth="1"/>
    <col min="13274" max="13274" width="4" bestFit="1" customWidth="1"/>
    <col min="13275" max="13275" width="54.28515625" customWidth="1"/>
    <col min="13276" max="13279" width="12.5703125" customWidth="1"/>
    <col min="13280" max="13280" width="11.28515625" customWidth="1"/>
    <col min="13281" max="13281" width="11.5703125" customWidth="1"/>
    <col min="13282" max="13282" width="11.7109375" customWidth="1"/>
    <col min="13283" max="13283" width="13.28515625" customWidth="1"/>
    <col min="13284" max="13528" width="9.140625" customWidth="1"/>
    <col min="13530" max="13530" width="4" bestFit="1" customWidth="1"/>
    <col min="13531" max="13531" width="54.28515625" customWidth="1"/>
    <col min="13532" max="13535" width="12.5703125" customWidth="1"/>
    <col min="13536" max="13536" width="11.28515625" customWidth="1"/>
    <col min="13537" max="13537" width="11.5703125" customWidth="1"/>
    <col min="13538" max="13538" width="11.7109375" customWidth="1"/>
    <col min="13539" max="13539" width="13.28515625" customWidth="1"/>
    <col min="13540" max="13784" width="9.140625" customWidth="1"/>
    <col min="13786" max="13786" width="4" bestFit="1" customWidth="1"/>
    <col min="13787" max="13787" width="54.28515625" customWidth="1"/>
    <col min="13788" max="13791" width="12.5703125" customWidth="1"/>
    <col min="13792" max="13792" width="11.28515625" customWidth="1"/>
    <col min="13793" max="13793" width="11.5703125" customWidth="1"/>
    <col min="13794" max="13794" width="11.7109375" customWidth="1"/>
    <col min="13795" max="13795" width="13.28515625" customWidth="1"/>
    <col min="13796" max="14040" width="9.140625" customWidth="1"/>
    <col min="14042" max="14042" width="4" bestFit="1" customWidth="1"/>
    <col min="14043" max="14043" width="54.28515625" customWidth="1"/>
    <col min="14044" max="14047" width="12.5703125" customWidth="1"/>
    <col min="14048" max="14048" width="11.28515625" customWidth="1"/>
    <col min="14049" max="14049" width="11.5703125" customWidth="1"/>
    <col min="14050" max="14050" width="11.7109375" customWidth="1"/>
    <col min="14051" max="14051" width="13.28515625" customWidth="1"/>
    <col min="14052" max="14296" width="9.140625" customWidth="1"/>
    <col min="14298" max="14298" width="4" bestFit="1" customWidth="1"/>
    <col min="14299" max="14299" width="54.28515625" customWidth="1"/>
    <col min="14300" max="14303" width="12.5703125" customWidth="1"/>
    <col min="14304" max="14304" width="11.28515625" customWidth="1"/>
    <col min="14305" max="14305" width="11.5703125" customWidth="1"/>
    <col min="14306" max="14306" width="11.7109375" customWidth="1"/>
    <col min="14307" max="14307" width="13.28515625" customWidth="1"/>
    <col min="14308" max="14552" width="9.140625" customWidth="1"/>
    <col min="14554" max="14554" width="4" bestFit="1" customWidth="1"/>
    <col min="14555" max="14555" width="54.28515625" customWidth="1"/>
    <col min="14556" max="14559" width="12.5703125" customWidth="1"/>
    <col min="14560" max="14560" width="11.28515625" customWidth="1"/>
    <col min="14561" max="14561" width="11.5703125" customWidth="1"/>
    <col min="14562" max="14562" width="11.7109375" customWidth="1"/>
    <col min="14563" max="14563" width="13.28515625" customWidth="1"/>
    <col min="14564" max="14808" width="9.140625" customWidth="1"/>
    <col min="14810" max="14810" width="4" bestFit="1" customWidth="1"/>
    <col min="14811" max="14811" width="54.28515625" customWidth="1"/>
    <col min="14812" max="14815" width="12.5703125" customWidth="1"/>
    <col min="14816" max="14816" width="11.28515625" customWidth="1"/>
    <col min="14817" max="14817" width="11.5703125" customWidth="1"/>
    <col min="14818" max="14818" width="11.7109375" customWidth="1"/>
    <col min="14819" max="14819" width="13.28515625" customWidth="1"/>
    <col min="14820" max="15064" width="9.140625" customWidth="1"/>
    <col min="15066" max="15066" width="4" bestFit="1" customWidth="1"/>
    <col min="15067" max="15067" width="54.28515625" customWidth="1"/>
    <col min="15068" max="15071" width="12.5703125" customWidth="1"/>
    <col min="15072" max="15072" width="11.28515625" customWidth="1"/>
    <col min="15073" max="15073" width="11.5703125" customWidth="1"/>
    <col min="15074" max="15074" width="11.7109375" customWidth="1"/>
    <col min="15075" max="15075" width="13.28515625" customWidth="1"/>
    <col min="15076" max="15320" width="9.140625" customWidth="1"/>
    <col min="15322" max="15322" width="4" bestFit="1" customWidth="1"/>
    <col min="15323" max="15323" width="54.28515625" customWidth="1"/>
    <col min="15324" max="15327" width="12.5703125" customWidth="1"/>
    <col min="15328" max="15328" width="11.28515625" customWidth="1"/>
    <col min="15329" max="15329" width="11.5703125" customWidth="1"/>
    <col min="15330" max="15330" width="11.7109375" customWidth="1"/>
    <col min="15331" max="15331" width="13.28515625" customWidth="1"/>
    <col min="15332" max="15576" width="9.140625" customWidth="1"/>
    <col min="15578" max="15578" width="4" bestFit="1" customWidth="1"/>
    <col min="15579" max="15579" width="54.28515625" customWidth="1"/>
    <col min="15580" max="15583" width="12.5703125" customWidth="1"/>
    <col min="15584" max="15584" width="11.28515625" customWidth="1"/>
    <col min="15585" max="15585" width="11.5703125" customWidth="1"/>
    <col min="15586" max="15586" width="11.7109375" customWidth="1"/>
    <col min="15587" max="15587" width="13.28515625" customWidth="1"/>
    <col min="15588" max="15832" width="9.140625" customWidth="1"/>
    <col min="15834" max="15834" width="4" bestFit="1" customWidth="1"/>
    <col min="15835" max="15835" width="54.28515625" customWidth="1"/>
    <col min="15836" max="15839" width="12.5703125" customWidth="1"/>
    <col min="15840" max="15840" width="11.28515625" customWidth="1"/>
    <col min="15841" max="15841" width="11.5703125" customWidth="1"/>
    <col min="15842" max="15842" width="11.7109375" customWidth="1"/>
    <col min="15843" max="15843" width="13.28515625" customWidth="1"/>
    <col min="15844" max="16088" width="9.140625" customWidth="1"/>
    <col min="16090" max="16090" width="4" bestFit="1" customWidth="1"/>
    <col min="16091" max="16091" width="54.28515625" customWidth="1"/>
    <col min="16092" max="16095" width="12.5703125" customWidth="1"/>
    <col min="16096" max="16096" width="11.28515625" customWidth="1"/>
    <col min="16097" max="16097" width="11.5703125" customWidth="1"/>
    <col min="16098" max="16098" width="11.7109375" customWidth="1"/>
    <col min="16099" max="16099" width="13.28515625" customWidth="1"/>
    <col min="16100" max="16344" width="9.140625" customWidth="1"/>
  </cols>
  <sheetData>
    <row r="1" spans="1:14" ht="18.75">
      <c r="A1" s="316"/>
      <c r="B1" s="316"/>
      <c r="C1" s="264"/>
      <c r="D1" s="265"/>
      <c r="E1" s="265"/>
      <c r="F1" s="265"/>
      <c r="G1" s="265"/>
      <c r="H1" s="317" t="s">
        <v>151</v>
      </c>
      <c r="I1" s="317"/>
      <c r="J1" s="14"/>
      <c r="K1" s="14"/>
      <c r="L1" s="14"/>
      <c r="M1" s="14"/>
      <c r="N1" s="14"/>
    </row>
    <row r="2" spans="1:14" ht="47.25" customHeight="1">
      <c r="A2" s="318" t="s">
        <v>233</v>
      </c>
      <c r="B2" s="319"/>
      <c r="C2" s="319"/>
      <c r="D2" s="319"/>
      <c r="E2" s="319"/>
      <c r="F2" s="319"/>
      <c r="G2" s="319"/>
      <c r="H2" s="319"/>
      <c r="I2" s="319"/>
      <c r="J2" s="14"/>
      <c r="K2" s="14"/>
      <c r="L2" s="14"/>
      <c r="M2" s="14"/>
      <c r="N2" s="14"/>
    </row>
    <row r="3" spans="1:14" ht="15.75">
      <c r="A3" s="266"/>
      <c r="B3" s="265"/>
      <c r="C3" s="264"/>
      <c r="D3" s="264"/>
      <c r="E3" s="264"/>
      <c r="F3" s="320" t="s">
        <v>157</v>
      </c>
      <c r="G3" s="320"/>
      <c r="H3" s="320"/>
      <c r="I3" s="320"/>
      <c r="J3" s="14"/>
      <c r="K3" s="14"/>
      <c r="L3" s="14"/>
      <c r="M3" s="14"/>
      <c r="N3" s="14"/>
    </row>
    <row r="4" spans="1:14" s="19" customFormat="1" ht="24" customHeight="1">
      <c r="A4" s="321" t="s">
        <v>160</v>
      </c>
      <c r="B4" s="321" t="s">
        <v>0</v>
      </c>
      <c r="C4" s="321" t="s">
        <v>175</v>
      </c>
      <c r="D4" s="324" t="s">
        <v>5</v>
      </c>
      <c r="E4" s="324"/>
      <c r="F4" s="324"/>
      <c r="G4" s="324" t="s">
        <v>1</v>
      </c>
      <c r="H4" s="324"/>
      <c r="I4" s="324"/>
    </row>
    <row r="5" spans="1:14" s="19" customFormat="1" ht="31.5">
      <c r="A5" s="322"/>
      <c r="B5" s="323"/>
      <c r="C5" s="323"/>
      <c r="D5" s="267" t="s">
        <v>2</v>
      </c>
      <c r="E5" s="267" t="s">
        <v>3</v>
      </c>
      <c r="F5" s="267" t="s">
        <v>4</v>
      </c>
      <c r="G5" s="267" t="s">
        <v>6</v>
      </c>
      <c r="H5" s="267" t="s">
        <v>7</v>
      </c>
      <c r="I5" s="268" t="s">
        <v>176</v>
      </c>
    </row>
    <row r="6" spans="1:14" s="23" customFormat="1" ht="15.75">
      <c r="A6" s="269">
        <v>1</v>
      </c>
      <c r="B6" s="270">
        <v>2</v>
      </c>
      <c r="C6" s="269">
        <v>3</v>
      </c>
      <c r="D6" s="270">
        <v>4</v>
      </c>
      <c r="E6" s="269">
        <v>5</v>
      </c>
      <c r="F6" s="270">
        <v>6</v>
      </c>
      <c r="G6" s="269">
        <v>7</v>
      </c>
      <c r="H6" s="270">
        <v>8</v>
      </c>
      <c r="I6" s="269">
        <v>9</v>
      </c>
      <c r="K6" s="271"/>
    </row>
    <row r="7" spans="1:14" s="2" customFormat="1" ht="19.5" customHeight="1">
      <c r="A7" s="272"/>
      <c r="B7" s="273" t="s">
        <v>8</v>
      </c>
      <c r="C7" s="274">
        <f t="shared" ref="C7:I7" si="0">C8+C31+C32+C33</f>
        <v>9603605.0512959994</v>
      </c>
      <c r="D7" s="275">
        <f t="shared" si="0"/>
        <v>8822000</v>
      </c>
      <c r="E7" s="274">
        <f t="shared" si="0"/>
        <v>10000000</v>
      </c>
      <c r="F7" s="275">
        <f t="shared" si="0"/>
        <v>10050000</v>
      </c>
      <c r="G7" s="274">
        <f t="shared" si="0"/>
        <v>10500000</v>
      </c>
      <c r="H7" s="274">
        <f t="shared" si="0"/>
        <v>11245800</v>
      </c>
      <c r="I7" s="274">
        <f t="shared" si="0"/>
        <v>12371000</v>
      </c>
      <c r="J7" s="276">
        <f>G7/F7</f>
        <v>1.044776119402985</v>
      </c>
      <c r="K7" s="276">
        <f>H7/G7</f>
        <v>1.0710285714285714</v>
      </c>
      <c r="L7" s="276">
        <f>I7/H7</f>
        <v>1.10005513169361</v>
      </c>
      <c r="M7" s="277"/>
      <c r="N7" s="277"/>
    </row>
    <row r="8" spans="1:14" s="6" customFormat="1" ht="19.5" customHeight="1">
      <c r="A8" s="278" t="s">
        <v>9</v>
      </c>
      <c r="B8" s="279" t="s">
        <v>10</v>
      </c>
      <c r="C8" s="280">
        <f>C9+C12+C13+C14+C15+C16+C17+C18+C19+C20+C22+C25+C27+C28+C29+C30</f>
        <v>8065934.9528580001</v>
      </c>
      <c r="D8" s="281">
        <f>D9+D12+D13+D14+D15+D16+D17+D18+D19+D20+D22+D25+D27+D28+D29+D30</f>
        <v>8172000</v>
      </c>
      <c r="E8" s="281">
        <f t="shared" ref="E8" si="1">E9+E12+E13+E14+E15+E16+E17+E18+E19+E20+E22+E25+E27+E28+E29+E30</f>
        <v>9250000</v>
      </c>
      <c r="F8" s="281">
        <f t="shared" ref="F8:I8" si="2">F9+F12+F13+F14+F15+F16+F17+F18+F19+F20+F22+F25+F27+F28+F29+F30</f>
        <v>9035000</v>
      </c>
      <c r="G8" s="281">
        <f t="shared" si="2"/>
        <v>9500000</v>
      </c>
      <c r="H8" s="280">
        <f t="shared" si="2"/>
        <v>10205800</v>
      </c>
      <c r="I8" s="280">
        <f t="shared" si="2"/>
        <v>11291000</v>
      </c>
      <c r="J8" s="282"/>
      <c r="K8" s="283">
        <f>G8+H8+I8</f>
        <v>30996800</v>
      </c>
      <c r="L8" s="283">
        <f>K8-K23</f>
        <v>23665800</v>
      </c>
      <c r="M8" s="282"/>
      <c r="N8" s="282"/>
    </row>
    <row r="9" spans="1:14" s="8" customFormat="1" ht="19.5" customHeight="1">
      <c r="A9" s="284">
        <v>1</v>
      </c>
      <c r="B9" s="285" t="s">
        <v>11</v>
      </c>
      <c r="C9" s="286">
        <f>C10+C11</f>
        <v>559120.607861</v>
      </c>
      <c r="D9" s="287">
        <f>D10+D11</f>
        <v>531000</v>
      </c>
      <c r="E9" s="286">
        <f t="shared" ref="E9" si="3">E10+E11</f>
        <v>531000</v>
      </c>
      <c r="F9" s="287">
        <f t="shared" ref="F9:I9" si="4">F10+F11</f>
        <v>360000</v>
      </c>
      <c r="G9" s="286">
        <f t="shared" si="4"/>
        <v>410000</v>
      </c>
      <c r="H9" s="286">
        <f t="shared" si="4"/>
        <v>497000</v>
      </c>
      <c r="I9" s="286">
        <f t="shared" si="4"/>
        <v>555000</v>
      </c>
      <c r="J9" s="24"/>
      <c r="L9" s="283">
        <f>G8-G20-G23-G30</f>
        <v>6665000</v>
      </c>
      <c r="M9" s="283">
        <f>H8-H20-H23-H30</f>
        <v>7949800</v>
      </c>
      <c r="N9" s="283">
        <f>I8-I20-I23-I30</f>
        <v>9051000</v>
      </c>
    </row>
    <row r="10" spans="1:14" s="26" customFormat="1" ht="19.5" customHeight="1">
      <c r="A10" s="288" t="s">
        <v>12</v>
      </c>
      <c r="B10" s="289" t="s">
        <v>110</v>
      </c>
      <c r="C10" s="290">
        <v>456835.11307800002</v>
      </c>
      <c r="D10" s="291">
        <v>424000</v>
      </c>
      <c r="E10" s="291">
        <v>424000</v>
      </c>
      <c r="F10" s="291">
        <v>300000</v>
      </c>
      <c r="G10" s="290">
        <v>340000</v>
      </c>
      <c r="H10" s="290">
        <v>420000</v>
      </c>
      <c r="I10" s="290">
        <v>470000</v>
      </c>
      <c r="J10" s="24"/>
    </row>
    <row r="11" spans="1:14" s="26" customFormat="1" ht="19.5" customHeight="1">
      <c r="A11" s="288" t="s">
        <v>13</v>
      </c>
      <c r="B11" s="289" t="s">
        <v>111</v>
      </c>
      <c r="C11" s="290">
        <v>102285.494783</v>
      </c>
      <c r="D11" s="291">
        <v>107000</v>
      </c>
      <c r="E11" s="291">
        <v>107000</v>
      </c>
      <c r="F11" s="291">
        <v>60000</v>
      </c>
      <c r="G11" s="290">
        <v>70000</v>
      </c>
      <c r="H11" s="290">
        <v>77000</v>
      </c>
      <c r="I11" s="290">
        <v>85000</v>
      </c>
      <c r="J11" s="24"/>
      <c r="L11" s="74">
        <f>M9/L9</f>
        <v>1.192768192048012</v>
      </c>
      <c r="M11" s="74">
        <f>N9/M9</f>
        <v>1.1385192080303908</v>
      </c>
    </row>
    <row r="12" spans="1:14" s="8" customFormat="1" ht="19.5" customHeight="1">
      <c r="A12" s="284">
        <v>2</v>
      </c>
      <c r="B12" s="285" t="s">
        <v>112</v>
      </c>
      <c r="C12" s="286">
        <v>708135.52331199998</v>
      </c>
      <c r="D12" s="287">
        <v>781000</v>
      </c>
      <c r="E12" s="287">
        <v>851000</v>
      </c>
      <c r="F12" s="287">
        <v>1012300</v>
      </c>
      <c r="G12" s="286">
        <v>1100000</v>
      </c>
      <c r="H12" s="286">
        <v>1225000</v>
      </c>
      <c r="I12" s="286">
        <v>1375000</v>
      </c>
      <c r="J12" s="24"/>
    </row>
    <row r="13" spans="1:14" s="8" customFormat="1" ht="19.5" customHeight="1">
      <c r="A13" s="284">
        <v>3</v>
      </c>
      <c r="B13" s="285" t="s">
        <v>113</v>
      </c>
      <c r="C13" s="287">
        <v>1703240.4392029999</v>
      </c>
      <c r="D13" s="287">
        <v>1850000</v>
      </c>
      <c r="E13" s="287">
        <v>1850000</v>
      </c>
      <c r="F13" s="287">
        <v>1600000</v>
      </c>
      <c r="G13" s="286">
        <v>1700000</v>
      </c>
      <c r="H13" s="286">
        <v>1920000</v>
      </c>
      <c r="I13" s="286">
        <v>2150000</v>
      </c>
      <c r="J13" s="24"/>
      <c r="L13" s="8">
        <f>L9/G8</f>
        <v>0.70157894736842108</v>
      </c>
    </row>
    <row r="14" spans="1:14" s="8" customFormat="1" ht="19.5" customHeight="1">
      <c r="A14" s="284">
        <v>4</v>
      </c>
      <c r="B14" s="285" t="s">
        <v>14</v>
      </c>
      <c r="C14" s="286">
        <v>426222.307287</v>
      </c>
      <c r="D14" s="292">
        <v>440000</v>
      </c>
      <c r="E14" s="292">
        <v>440000</v>
      </c>
      <c r="F14" s="292">
        <v>335500</v>
      </c>
      <c r="G14" s="286">
        <v>420000</v>
      </c>
      <c r="H14" s="286">
        <v>520000</v>
      </c>
      <c r="I14" s="286">
        <v>600000</v>
      </c>
      <c r="J14" s="24"/>
    </row>
    <row r="15" spans="1:14" s="8" customFormat="1" ht="19.5" customHeight="1">
      <c r="A15" s="284">
        <v>5</v>
      </c>
      <c r="B15" s="285" t="s">
        <v>15</v>
      </c>
      <c r="C15" s="286">
        <v>11197.528616</v>
      </c>
      <c r="D15" s="292">
        <v>13000</v>
      </c>
      <c r="E15" s="292">
        <v>13000</v>
      </c>
      <c r="F15" s="292">
        <v>12000</v>
      </c>
      <c r="G15" s="286">
        <v>11000</v>
      </c>
      <c r="H15" s="286">
        <v>12000</v>
      </c>
      <c r="I15" s="286">
        <v>14000</v>
      </c>
      <c r="J15" s="24"/>
    </row>
    <row r="16" spans="1:14" s="8" customFormat="1" ht="19.5" customHeight="1">
      <c r="A16" s="284">
        <v>6</v>
      </c>
      <c r="B16" s="293" t="s">
        <v>16</v>
      </c>
      <c r="C16" s="286">
        <v>0</v>
      </c>
      <c r="D16" s="287"/>
      <c r="E16" s="287"/>
      <c r="F16" s="287"/>
      <c r="G16" s="286">
        <v>0</v>
      </c>
      <c r="H16" s="286">
        <v>0</v>
      </c>
      <c r="I16" s="286">
        <v>0</v>
      </c>
      <c r="J16" s="24"/>
    </row>
    <row r="17" spans="1:14" s="8" customFormat="1" ht="19.5" customHeight="1">
      <c r="A17" s="284">
        <v>7</v>
      </c>
      <c r="B17" s="285" t="s">
        <v>17</v>
      </c>
      <c r="C17" s="286">
        <v>776676.57976600004</v>
      </c>
      <c r="D17" s="292">
        <v>900000</v>
      </c>
      <c r="E17" s="292">
        <v>900000</v>
      </c>
      <c r="F17" s="292">
        <v>865000</v>
      </c>
      <c r="G17" s="286">
        <v>850000</v>
      </c>
      <c r="H17" s="286">
        <v>950000</v>
      </c>
      <c r="I17" s="286">
        <v>1100000</v>
      </c>
      <c r="J17" s="24"/>
    </row>
    <row r="18" spans="1:14" s="8" customFormat="1" ht="19.5" customHeight="1">
      <c r="A18" s="284">
        <v>8</v>
      </c>
      <c r="B18" s="285" t="s">
        <v>117</v>
      </c>
      <c r="C18" s="286">
        <v>619165.106439</v>
      </c>
      <c r="D18" s="292">
        <v>670000</v>
      </c>
      <c r="E18" s="292">
        <v>670000</v>
      </c>
      <c r="F18" s="292">
        <v>610000</v>
      </c>
      <c r="G18" s="286">
        <v>645000</v>
      </c>
      <c r="H18" s="286">
        <v>715000</v>
      </c>
      <c r="I18" s="286">
        <v>795000</v>
      </c>
      <c r="J18" s="24"/>
    </row>
    <row r="19" spans="1:14" s="8" customFormat="1" ht="19.5" customHeight="1">
      <c r="A19" s="294">
        <v>9</v>
      </c>
      <c r="B19" s="285" t="s">
        <v>18</v>
      </c>
      <c r="C19" s="286">
        <v>498307.63907500001</v>
      </c>
      <c r="D19" s="295">
        <v>540000</v>
      </c>
      <c r="E19" s="295">
        <v>570000</v>
      </c>
      <c r="F19" s="295">
        <v>410000</v>
      </c>
      <c r="G19" s="287">
        <v>522000</v>
      </c>
      <c r="H19" s="286">
        <v>600000</v>
      </c>
      <c r="I19" s="286">
        <v>680000</v>
      </c>
      <c r="J19" s="24"/>
    </row>
    <row r="20" spans="1:14" s="8" customFormat="1" ht="19.5" customHeight="1">
      <c r="A20" s="284">
        <v>10</v>
      </c>
      <c r="B20" s="296" t="s">
        <v>19</v>
      </c>
      <c r="C20" s="286">
        <v>495628.905761</v>
      </c>
      <c r="D20" s="292">
        <v>300000</v>
      </c>
      <c r="E20" s="292">
        <v>408000</v>
      </c>
      <c r="F20" s="292">
        <v>737400</v>
      </c>
      <c r="G20" s="286">
        <v>859600</v>
      </c>
      <c r="H20" s="286">
        <v>470000</v>
      </c>
      <c r="I20" s="286">
        <v>500000</v>
      </c>
      <c r="J20" s="24">
        <f>G20+H20+I20</f>
        <v>1829600</v>
      </c>
    </row>
    <row r="21" spans="1:14" s="29" customFormat="1" ht="19.5" customHeight="1">
      <c r="A21" s="288"/>
      <c r="B21" s="297" t="s">
        <v>177</v>
      </c>
      <c r="C21" s="290"/>
      <c r="D21" s="298"/>
      <c r="E21" s="298">
        <v>107900</v>
      </c>
      <c r="F21" s="298">
        <v>53000</v>
      </c>
      <c r="G21" s="290">
        <v>53600</v>
      </c>
      <c r="H21" s="290"/>
      <c r="I21" s="290"/>
      <c r="J21" s="299"/>
      <c r="K21" s="26"/>
      <c r="L21" s="26"/>
      <c r="M21" s="26"/>
      <c r="N21" s="26"/>
    </row>
    <row r="22" spans="1:14" s="8" customFormat="1" ht="19.5" customHeight="1">
      <c r="A22" s="284">
        <v>11</v>
      </c>
      <c r="B22" s="285" t="s">
        <v>114</v>
      </c>
      <c r="C22" s="286">
        <v>339074.72500899999</v>
      </c>
      <c r="D22" s="292">
        <v>260000</v>
      </c>
      <c r="E22" s="292">
        <v>1019000</v>
      </c>
      <c r="F22" s="292">
        <v>643000</v>
      </c>
      <c r="G22" s="286">
        <v>1042400</v>
      </c>
      <c r="H22" s="286">
        <v>1240000</v>
      </c>
      <c r="I22" s="286">
        <v>1420000</v>
      </c>
      <c r="J22" s="24"/>
    </row>
    <row r="23" spans="1:14" s="29" customFormat="1" ht="19.5" customHeight="1">
      <c r="A23" s="288"/>
      <c r="B23" s="297" t="s">
        <v>178</v>
      </c>
      <c r="C23" s="290"/>
      <c r="D23" s="298"/>
      <c r="E23" s="298">
        <v>288500</v>
      </c>
      <c r="F23" s="298">
        <v>0</v>
      </c>
      <c r="G23" s="290">
        <v>265400</v>
      </c>
      <c r="H23" s="290">
        <v>66000</v>
      </c>
      <c r="I23" s="290"/>
      <c r="J23" s="299">
        <f>G23+H23+I23</f>
        <v>331400</v>
      </c>
      <c r="K23" s="299">
        <f>J20+J23+J30</f>
        <v>7331000</v>
      </c>
      <c r="L23" s="26"/>
      <c r="M23" s="26"/>
      <c r="N23" s="26"/>
    </row>
    <row r="24" spans="1:14" s="29" customFormat="1" ht="19.5" customHeight="1">
      <c r="A24" s="288"/>
      <c r="B24" s="297" t="s">
        <v>179</v>
      </c>
      <c r="C24" s="290"/>
      <c r="D24" s="298"/>
      <c r="E24" s="298">
        <v>667400</v>
      </c>
      <c r="F24" s="298">
        <v>383000</v>
      </c>
      <c r="G24" s="290">
        <v>467000</v>
      </c>
      <c r="H24" s="290"/>
      <c r="I24" s="290"/>
      <c r="J24" s="299"/>
      <c r="K24" s="26"/>
      <c r="L24" s="26"/>
      <c r="M24" s="26"/>
      <c r="N24" s="26"/>
    </row>
    <row r="25" spans="1:14" s="9" customFormat="1" ht="19.5" customHeight="1">
      <c r="A25" s="284">
        <v>12</v>
      </c>
      <c r="B25" s="285" t="s">
        <v>115</v>
      </c>
      <c r="C25" s="286">
        <v>233395.244297</v>
      </c>
      <c r="D25" s="292">
        <v>250000</v>
      </c>
      <c r="E25" s="292">
        <v>261000</v>
      </c>
      <c r="F25" s="292">
        <v>260851</v>
      </c>
      <c r="G25" s="286">
        <v>200000</v>
      </c>
      <c r="H25" s="287">
        <v>298000</v>
      </c>
      <c r="I25" s="287">
        <v>320000</v>
      </c>
      <c r="J25" s="24"/>
      <c r="K25" s="300"/>
      <c r="L25" s="300"/>
      <c r="M25" s="300"/>
      <c r="N25" s="300"/>
    </row>
    <row r="26" spans="1:14" s="30" customFormat="1" ht="19.5" customHeight="1">
      <c r="A26" s="288"/>
      <c r="B26" s="289" t="s">
        <v>178</v>
      </c>
      <c r="C26" s="290"/>
      <c r="D26" s="298"/>
      <c r="E26" s="298">
        <v>11000</v>
      </c>
      <c r="F26" s="298">
        <v>4000</v>
      </c>
      <c r="G26" s="290"/>
      <c r="H26" s="291"/>
      <c r="I26" s="291"/>
      <c r="J26" s="299"/>
      <c r="K26" s="301"/>
      <c r="L26" s="301"/>
      <c r="M26" s="301"/>
      <c r="N26" s="301"/>
    </row>
    <row r="27" spans="1:14" s="8" customFormat="1" ht="19.5" customHeight="1">
      <c r="A27" s="284">
        <v>13</v>
      </c>
      <c r="B27" s="302" t="s">
        <v>116</v>
      </c>
      <c r="C27" s="286">
        <v>32386.603405999998</v>
      </c>
      <c r="D27" s="292">
        <v>30000</v>
      </c>
      <c r="E27" s="292">
        <v>30000</v>
      </c>
      <c r="F27" s="292">
        <v>27000</v>
      </c>
      <c r="G27" s="286">
        <v>27000</v>
      </c>
      <c r="H27" s="286">
        <v>35000</v>
      </c>
      <c r="I27" s="286">
        <v>37000</v>
      </c>
      <c r="J27" s="24"/>
    </row>
    <row r="28" spans="1:14" s="8" customFormat="1" ht="19.5" customHeight="1">
      <c r="A28" s="284">
        <v>14</v>
      </c>
      <c r="B28" s="285" t="s">
        <v>119</v>
      </c>
      <c r="C28" s="286">
        <v>5333.1178319999999</v>
      </c>
      <c r="D28" s="292">
        <v>2000</v>
      </c>
      <c r="E28" s="292">
        <v>2000</v>
      </c>
      <c r="F28" s="292">
        <v>2000</v>
      </c>
      <c r="G28" s="286">
        <v>2000</v>
      </c>
      <c r="H28" s="286">
        <v>2800</v>
      </c>
      <c r="I28" s="286">
        <v>4000</v>
      </c>
      <c r="J28" s="24"/>
    </row>
    <row r="29" spans="1:14" s="10" customFormat="1" ht="19.5" customHeight="1">
      <c r="A29" s="284">
        <v>15</v>
      </c>
      <c r="B29" s="302" t="s">
        <v>118</v>
      </c>
      <c r="C29" s="286">
        <v>4402.2625589999998</v>
      </c>
      <c r="D29" s="292">
        <v>5000</v>
      </c>
      <c r="E29" s="292">
        <v>5000</v>
      </c>
      <c r="F29" s="292">
        <v>309949</v>
      </c>
      <c r="G29" s="286">
        <v>1000</v>
      </c>
      <c r="H29" s="286">
        <v>1000</v>
      </c>
      <c r="I29" s="286">
        <v>1000</v>
      </c>
      <c r="J29" s="24"/>
      <c r="K29" s="8"/>
      <c r="L29" s="8"/>
      <c r="M29" s="8"/>
      <c r="N29" s="8"/>
    </row>
    <row r="30" spans="1:14" s="8" customFormat="1" ht="19.5" customHeight="1">
      <c r="A30" s="284">
        <v>16</v>
      </c>
      <c r="B30" s="296" t="s">
        <v>20</v>
      </c>
      <c r="C30" s="286">
        <v>1653648.362435</v>
      </c>
      <c r="D30" s="292">
        <v>1600000</v>
      </c>
      <c r="E30" s="292">
        <v>1700000</v>
      </c>
      <c r="F30" s="292">
        <v>1850000</v>
      </c>
      <c r="G30" s="286">
        <v>1710000</v>
      </c>
      <c r="H30" s="286">
        <v>1720000</v>
      </c>
      <c r="I30" s="286">
        <v>1740000</v>
      </c>
      <c r="J30" s="24">
        <f>G30+H30+I30</f>
        <v>5170000</v>
      </c>
    </row>
    <row r="31" spans="1:14" s="6" customFormat="1" ht="19.5" customHeight="1">
      <c r="A31" s="303" t="s">
        <v>21</v>
      </c>
      <c r="B31" s="304" t="s">
        <v>120</v>
      </c>
      <c r="C31" s="280">
        <v>1530636.0710209999</v>
      </c>
      <c r="D31" s="305">
        <v>650000</v>
      </c>
      <c r="E31" s="305">
        <v>750000</v>
      </c>
      <c r="F31" s="305">
        <v>1015000</v>
      </c>
      <c r="G31" s="280">
        <v>1000000</v>
      </c>
      <c r="H31" s="280">
        <v>1040000</v>
      </c>
      <c r="I31" s="280">
        <v>1080000</v>
      </c>
      <c r="J31" s="306">
        <f>G31/F31</f>
        <v>0.98522167487684731</v>
      </c>
      <c r="K31" s="306">
        <f>H31/G31</f>
        <v>1.04</v>
      </c>
      <c r="L31" s="306">
        <f>I31/H31</f>
        <v>1.0384615384615385</v>
      </c>
      <c r="M31" s="282"/>
      <c r="N31" s="282"/>
    </row>
    <row r="32" spans="1:14" s="8" customFormat="1" ht="19.5" customHeight="1">
      <c r="A32" s="303" t="s">
        <v>22</v>
      </c>
      <c r="B32" s="307" t="s">
        <v>23</v>
      </c>
      <c r="C32" s="280">
        <v>1254.881077</v>
      </c>
      <c r="D32" s="308"/>
      <c r="E32" s="308"/>
      <c r="F32" s="286"/>
      <c r="G32" s="286"/>
      <c r="H32" s="286"/>
      <c r="I32" s="286"/>
    </row>
    <row r="33" spans="1:9" s="8" customFormat="1" ht="19.5" customHeight="1">
      <c r="A33" s="303" t="s">
        <v>24</v>
      </c>
      <c r="B33" s="307" t="s">
        <v>25</v>
      </c>
      <c r="C33" s="280">
        <v>5779.1463400000002</v>
      </c>
      <c r="D33" s="308"/>
      <c r="E33" s="308"/>
      <c r="F33" s="286"/>
      <c r="G33" s="286"/>
      <c r="H33" s="286"/>
      <c r="I33" s="286"/>
    </row>
    <row r="34" spans="1:9" s="8" customFormat="1" ht="19.5" customHeight="1">
      <c r="A34" s="21"/>
      <c r="B34" s="11"/>
      <c r="C34" s="12"/>
      <c r="D34" s="12"/>
      <c r="E34" s="12"/>
      <c r="F34" s="13"/>
      <c r="G34" s="13"/>
      <c r="H34" s="13"/>
      <c r="I34" s="12"/>
    </row>
    <row r="36" spans="1:9">
      <c r="G36" s="16"/>
      <c r="H36" s="16"/>
    </row>
    <row r="37" spans="1:9">
      <c r="G37" s="16">
        <f>G8+H8+I8-G20-H20-I20-G30-H30-I30-G23-H23</f>
        <v>23665800</v>
      </c>
    </row>
  </sheetData>
  <mergeCells count="9">
    <mergeCell ref="A1:B1"/>
    <mergeCell ref="H1:I1"/>
    <mergeCell ref="A2:I2"/>
    <mergeCell ref="F3:I3"/>
    <mergeCell ref="A4:A5"/>
    <mergeCell ref="B4:B5"/>
    <mergeCell ref="C4:C5"/>
    <mergeCell ref="D4:F4"/>
    <mergeCell ref="G4:I4"/>
  </mergeCells>
  <pageMargins left="0.25" right="0.25" top="0.75" bottom="0.75" header="0.3" footer="0.3"/>
  <pageSetup orientation="landscape" r:id="rId1"/>
  <headerFooter>
    <oddFooter>&amp;R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O43"/>
  <sheetViews>
    <sheetView topLeftCell="A4" zoomScaleNormal="100" workbookViewId="0">
      <pane xSplit="2" ySplit="3" topLeftCell="C7" activePane="bottomRight" state="frozen"/>
      <selection activeCell="A4" sqref="A4"/>
      <selection pane="topRight" activeCell="C4" sqref="C4"/>
      <selection pane="bottomLeft" activeCell="A7" sqref="A7"/>
      <selection pane="bottomRight" activeCell="D14" sqref="D14"/>
    </sheetView>
  </sheetViews>
  <sheetFormatPr defaultColWidth="9.140625" defaultRowHeight="16.5"/>
  <cols>
    <col min="1" max="1" width="6.28515625" style="201" customWidth="1"/>
    <col min="2" max="2" width="45.42578125" style="202" customWidth="1"/>
    <col min="3" max="5" width="13.85546875" style="203" customWidth="1"/>
    <col min="6" max="8" width="13.85546875" style="202" customWidth="1"/>
    <col min="9" max="12" width="11.42578125" style="202" hidden="1" customWidth="1"/>
    <col min="13" max="13" width="11.42578125" style="202" customWidth="1"/>
    <col min="14" max="14" width="13.28515625" style="202" customWidth="1"/>
    <col min="15" max="15" width="10.140625" style="202" bestFit="1" customWidth="1"/>
    <col min="16" max="16384" width="9.140625" style="202"/>
  </cols>
  <sheetData>
    <row r="1" spans="1:15">
      <c r="G1" s="327" t="s">
        <v>152</v>
      </c>
      <c r="H1" s="327"/>
      <c r="O1" s="204"/>
    </row>
    <row r="2" spans="1:15" ht="20.25">
      <c r="A2" s="328" t="s">
        <v>232</v>
      </c>
      <c r="B2" s="329"/>
      <c r="C2" s="329"/>
      <c r="D2" s="329"/>
      <c r="E2" s="329"/>
      <c r="F2" s="329"/>
      <c r="G2" s="329"/>
      <c r="H2" s="329"/>
      <c r="I2" s="205"/>
      <c r="J2" s="205"/>
      <c r="K2" s="205"/>
      <c r="L2" s="205"/>
      <c r="M2" s="205"/>
      <c r="N2" s="205"/>
    </row>
    <row r="3" spans="1:15" s="207" customFormat="1">
      <c r="A3" s="206"/>
      <c r="C3" s="208"/>
      <c r="I3" s="208"/>
      <c r="J3" s="208"/>
      <c r="K3" s="208"/>
      <c r="L3" s="208"/>
    </row>
    <row r="4" spans="1:15">
      <c r="F4" s="311" t="s">
        <v>157</v>
      </c>
      <c r="G4" s="311"/>
      <c r="H4" s="311"/>
    </row>
    <row r="5" spans="1:15" s="209" customFormat="1" ht="21" customHeight="1">
      <c r="A5" s="330" t="s">
        <v>63</v>
      </c>
      <c r="B5" s="331" t="s">
        <v>27</v>
      </c>
      <c r="C5" s="326" t="s">
        <v>227</v>
      </c>
      <c r="D5" s="326" t="s">
        <v>5</v>
      </c>
      <c r="E5" s="326"/>
      <c r="F5" s="326" t="s">
        <v>228</v>
      </c>
      <c r="G5" s="326" t="s">
        <v>156</v>
      </c>
      <c r="H5" s="326" t="s">
        <v>229</v>
      </c>
    </row>
    <row r="6" spans="1:15" s="209" customFormat="1" ht="30" customHeight="1">
      <c r="A6" s="330"/>
      <c r="B6" s="331"/>
      <c r="C6" s="332"/>
      <c r="D6" s="210" t="s">
        <v>153</v>
      </c>
      <c r="E6" s="210" t="s">
        <v>154</v>
      </c>
      <c r="F6" s="326"/>
      <c r="G6" s="326"/>
      <c r="H6" s="326"/>
    </row>
    <row r="7" spans="1:15" s="215" customFormat="1" ht="14.25" customHeight="1">
      <c r="A7" s="211" t="s">
        <v>37</v>
      </c>
      <c r="B7" s="212" t="s">
        <v>38</v>
      </c>
      <c r="C7" s="213">
        <v>1</v>
      </c>
      <c r="D7" s="213">
        <v>2</v>
      </c>
      <c r="E7" s="213">
        <v>3</v>
      </c>
      <c r="F7" s="214">
        <v>4</v>
      </c>
      <c r="G7" s="214">
        <v>5</v>
      </c>
      <c r="H7" s="214">
        <v>6</v>
      </c>
    </row>
    <row r="8" spans="1:15" s="219" customFormat="1">
      <c r="A8" s="216"/>
      <c r="B8" s="216" t="s">
        <v>161</v>
      </c>
      <c r="C8" s="217">
        <f>C9+C26</f>
        <v>8755668.8748989999</v>
      </c>
      <c r="D8" s="217">
        <f>D9+D26</f>
        <v>11118500</v>
      </c>
      <c r="E8" s="217">
        <f>E9+E26</f>
        <v>13129138.068749405</v>
      </c>
      <c r="F8" s="217">
        <f>F9+F26</f>
        <v>11544799.979017001</v>
      </c>
      <c r="G8" s="217">
        <f>G9+G26</f>
        <v>13088039.9315625</v>
      </c>
      <c r="H8" s="217">
        <f>H9+H26</f>
        <v>15087169.885937499</v>
      </c>
      <c r="I8" s="218">
        <f>F8-E8</f>
        <v>-1584338.0897324048</v>
      </c>
      <c r="J8" s="218">
        <f>G8/E8</f>
        <v>0.99686970028255484</v>
      </c>
      <c r="N8" s="218"/>
    </row>
    <row r="9" spans="1:15" s="209" customFormat="1">
      <c r="A9" s="220" t="s">
        <v>9</v>
      </c>
      <c r="B9" s="221" t="s">
        <v>162</v>
      </c>
      <c r="C9" s="222">
        <f>C10+C16+C19+C22+C23+C24+C25</f>
        <v>7783037.9858689997</v>
      </c>
      <c r="D9" s="222">
        <f>D10+D16+D19+D22+D23+D24+D25</f>
        <v>10170308</v>
      </c>
      <c r="E9" s="222">
        <f>E10+E16+E19+E22+E23+E24+E25</f>
        <v>11821100.513005406</v>
      </c>
      <c r="F9" s="222">
        <f>F10+F16+F19+F22+F23+F24+F25</f>
        <v>10317587.979017001</v>
      </c>
      <c r="G9" s="222">
        <f>G10+G16+G19+G22+G23+G24+G25</f>
        <v>11139669.9315625</v>
      </c>
      <c r="H9" s="222">
        <f>H10+H16+H19+H22+H23+H24+H25</f>
        <v>12514499.885937499</v>
      </c>
      <c r="I9" s="218">
        <f>F9-D9</f>
        <v>147279.97901700065</v>
      </c>
      <c r="J9" s="223">
        <f>F9/D9</f>
        <v>1.0144813686091907</v>
      </c>
    </row>
    <row r="10" spans="1:15" s="209" customFormat="1">
      <c r="A10" s="220">
        <v>1</v>
      </c>
      <c r="B10" s="224" t="s">
        <v>142</v>
      </c>
      <c r="C10" s="222">
        <f>C11+C12</f>
        <v>2465009.1088899998</v>
      </c>
      <c r="D10" s="222">
        <f t="shared" ref="D10" si="0">D11+D12</f>
        <v>3147220</v>
      </c>
      <c r="E10" s="222">
        <f>E11+E12</f>
        <v>5392323.2990569994</v>
      </c>
      <c r="F10" s="222">
        <f>F11+F12+F15</f>
        <v>3415450</v>
      </c>
      <c r="G10" s="222">
        <f>G11+G12+G15</f>
        <v>3334900</v>
      </c>
      <c r="H10" s="222">
        <f t="shared" ref="G10:H10" si="1">H11+H12+H15</f>
        <v>3594880</v>
      </c>
      <c r="I10" s="218">
        <f>F10-D10</f>
        <v>268230</v>
      </c>
      <c r="J10" s="223">
        <f>F10/D10</f>
        <v>1.0852275976893893</v>
      </c>
      <c r="M10" s="209">
        <v>3434850</v>
      </c>
      <c r="N10" s="225">
        <f>M10-F10</f>
        <v>19400</v>
      </c>
    </row>
    <row r="11" spans="1:15" s="229" customFormat="1" ht="31.5">
      <c r="A11" s="226" t="s">
        <v>46</v>
      </c>
      <c r="B11" s="227" t="s">
        <v>163</v>
      </c>
      <c r="C11" s="228">
        <f>2465009.10889-(216250.399278+47129.69681)-1386893.078338</f>
        <v>814735.9344639997</v>
      </c>
      <c r="D11" s="228">
        <f>3293520-(702080+81600)-1700000-146300</f>
        <v>663540</v>
      </c>
      <c r="E11" s="228">
        <f>5471050.299057-(667732.624215+72880)-2725789.178717-78727</f>
        <v>1925921.4961250001</v>
      </c>
      <c r="F11" s="228">
        <v>656410</v>
      </c>
      <c r="G11" s="228">
        <f>3642490-66000-1720000-307590-10000</f>
        <v>1538900</v>
      </c>
      <c r="H11" s="228">
        <f>4233080-1740000-638200-10000</f>
        <v>1844880</v>
      </c>
      <c r="J11" s="230"/>
    </row>
    <row r="12" spans="1:15" s="229" customFormat="1" ht="31.5">
      <c r="A12" s="226" t="s">
        <v>47</v>
      </c>
      <c r="B12" s="227" t="s">
        <v>234</v>
      </c>
      <c r="C12" s="228">
        <f>SUM(C13:C14)</f>
        <v>1650273.1744260001</v>
      </c>
      <c r="D12" s="228">
        <f t="shared" ref="D12:H12" si="2">SUM(D13:D14)</f>
        <v>2483680</v>
      </c>
      <c r="E12" s="228">
        <f t="shared" si="2"/>
        <v>3466401.8029319998</v>
      </c>
      <c r="F12" s="228">
        <f t="shared" si="2"/>
        <v>2749040</v>
      </c>
      <c r="G12" s="228">
        <f t="shared" si="2"/>
        <v>1786000</v>
      </c>
      <c r="H12" s="228">
        <f t="shared" si="2"/>
        <v>1740000</v>
      </c>
      <c r="I12" s="230"/>
      <c r="N12" s="230">
        <f>F8-D8</f>
        <v>426299.97901700065</v>
      </c>
    </row>
    <row r="13" spans="1:15" s="229" customFormat="1" ht="31.5">
      <c r="A13" s="226"/>
      <c r="B13" s="227" t="s">
        <v>131</v>
      </c>
      <c r="C13" s="228">
        <f>216250.399278+47129.69681</f>
        <v>263380.09608799999</v>
      </c>
      <c r="D13" s="228">
        <f>702080+81600</f>
        <v>783680</v>
      </c>
      <c r="E13" s="228">
        <f>667732.624215+72880</f>
        <v>740612.62421499996</v>
      </c>
      <c r="F13" s="228">
        <f>867120+171920</f>
        <v>1039040</v>
      </c>
      <c r="G13" s="228">
        <v>66000</v>
      </c>
      <c r="H13" s="228"/>
    </row>
    <row r="14" spans="1:15" s="229" customFormat="1">
      <c r="A14" s="226"/>
      <c r="B14" s="227" t="s">
        <v>132</v>
      </c>
      <c r="C14" s="228">
        <v>1386893.078338</v>
      </c>
      <c r="D14" s="228">
        <v>1700000</v>
      </c>
      <c r="E14" s="228">
        <v>2725789.1787169999</v>
      </c>
      <c r="F14" s="228">
        <v>1710000</v>
      </c>
      <c r="G14" s="228">
        <v>1720000</v>
      </c>
      <c r="H14" s="228">
        <v>1740000</v>
      </c>
      <c r="N14" s="230">
        <f>F10+F25</f>
        <v>3439850</v>
      </c>
    </row>
    <row r="15" spans="1:15">
      <c r="A15" s="235" t="s">
        <v>168</v>
      </c>
      <c r="B15" s="352" t="s">
        <v>49</v>
      </c>
      <c r="C15" s="237">
        <v>7600</v>
      </c>
      <c r="D15" s="237">
        <v>5000</v>
      </c>
      <c r="E15" s="237">
        <v>23400</v>
      </c>
      <c r="F15" s="237">
        <v>10000</v>
      </c>
      <c r="G15" s="237">
        <v>10000</v>
      </c>
      <c r="H15" s="237">
        <v>10000</v>
      </c>
      <c r="N15" s="203">
        <f>G10+G25</f>
        <v>3642490</v>
      </c>
    </row>
    <row r="16" spans="1:15" s="209" customFormat="1">
      <c r="A16" s="220">
        <v>2</v>
      </c>
      <c r="B16" s="224" t="s">
        <v>164</v>
      </c>
      <c r="C16" s="222">
        <v>5301353.6835509995</v>
      </c>
      <c r="D16" s="222">
        <f>D17+D18</f>
        <v>5952978</v>
      </c>
      <c r="E16" s="222">
        <f t="shared" ref="E16:H16" si="3">E17+E18</f>
        <v>6333607.6952484073</v>
      </c>
      <c r="F16" s="222">
        <f>F17+F18</f>
        <v>6008148</v>
      </c>
      <c r="G16" s="222">
        <f t="shared" si="3"/>
        <v>7277840.0409149854</v>
      </c>
      <c r="H16" s="222">
        <f t="shared" si="3"/>
        <v>8041089.5615962902</v>
      </c>
      <c r="I16" s="218">
        <f>F16-D16</f>
        <v>55170</v>
      </c>
      <c r="J16" s="223">
        <f>F16/D16</f>
        <v>1.0092676304195984</v>
      </c>
      <c r="N16" s="225">
        <f>H10+H25</f>
        <v>4233080</v>
      </c>
    </row>
    <row r="17" spans="1:8" s="229" customFormat="1" ht="31.5">
      <c r="A17" s="226"/>
      <c r="B17" s="231" t="s">
        <v>133</v>
      </c>
      <c r="C17" s="228"/>
      <c r="D17" s="228"/>
      <c r="E17" s="228"/>
      <c r="F17" s="228"/>
      <c r="G17" s="228"/>
      <c r="H17" s="228"/>
    </row>
    <row r="18" spans="1:8" s="229" customFormat="1">
      <c r="A18" s="226"/>
      <c r="B18" s="231" t="s">
        <v>48</v>
      </c>
      <c r="C18" s="228"/>
      <c r="D18" s="228">
        <v>5952978</v>
      </c>
      <c r="E18" s="228">
        <v>6333607.6952484073</v>
      </c>
      <c r="F18" s="228">
        <v>6008148</v>
      </c>
      <c r="G18" s="228">
        <v>7277840.0409149854</v>
      </c>
      <c r="H18" s="228">
        <v>8041089.5615962902</v>
      </c>
    </row>
    <row r="19" spans="1:8" s="209" customFormat="1" ht="31.5">
      <c r="A19" s="220">
        <v>3</v>
      </c>
      <c r="B19" s="232" t="s">
        <v>134</v>
      </c>
      <c r="C19" s="222">
        <f>C20+C21</f>
        <v>15675.193428</v>
      </c>
      <c r="D19" s="222">
        <f t="shared" ref="D19:H19" si="4">D20+D21</f>
        <v>1420</v>
      </c>
      <c r="E19" s="222">
        <f t="shared" si="4"/>
        <v>15442.518700000001</v>
      </c>
      <c r="F19" s="222">
        <f t="shared" si="4"/>
        <v>1449.9790170000001</v>
      </c>
      <c r="G19" s="222">
        <f t="shared" si="4"/>
        <v>1699.8906475144443</v>
      </c>
      <c r="H19" s="222">
        <f t="shared" si="4"/>
        <v>1800.3243412100001</v>
      </c>
    </row>
    <row r="20" spans="1:8" s="229" customFormat="1">
      <c r="A20" s="226"/>
      <c r="B20" s="231" t="s">
        <v>135</v>
      </c>
      <c r="C20" s="228">
        <v>14448.0586</v>
      </c>
      <c r="D20" s="228">
        <v>0</v>
      </c>
      <c r="E20" s="228">
        <v>14758.701181</v>
      </c>
      <c r="F20" s="228"/>
      <c r="G20" s="228"/>
      <c r="H20" s="228"/>
    </row>
    <row r="21" spans="1:8" s="229" customFormat="1">
      <c r="A21" s="226"/>
      <c r="B21" s="231" t="s">
        <v>136</v>
      </c>
      <c r="C21" s="228">
        <v>1227.134828</v>
      </c>
      <c r="D21" s="228">
        <v>1420</v>
      </c>
      <c r="E21" s="228">
        <v>683.81751899999995</v>
      </c>
      <c r="F21" s="228">
        <v>1449.9790170000001</v>
      </c>
      <c r="G21" s="228">
        <v>1699.8906475144443</v>
      </c>
      <c r="H21" s="228">
        <v>1800.3243412100001</v>
      </c>
    </row>
    <row r="22" spans="1:8" s="209" customFormat="1">
      <c r="A22" s="220">
        <v>4</v>
      </c>
      <c r="B22" s="224" t="s">
        <v>137</v>
      </c>
      <c r="C22" s="222">
        <v>1000</v>
      </c>
      <c r="D22" s="222">
        <v>1000</v>
      </c>
      <c r="E22" s="222">
        <v>1000</v>
      </c>
      <c r="F22" s="222">
        <v>1000</v>
      </c>
      <c r="G22" s="222">
        <v>1000</v>
      </c>
      <c r="H22" s="222">
        <v>1000</v>
      </c>
    </row>
    <row r="23" spans="1:8" s="209" customFormat="1">
      <c r="A23" s="220">
        <v>5</v>
      </c>
      <c r="B23" s="224" t="s">
        <v>138</v>
      </c>
      <c r="C23" s="222"/>
      <c r="D23" s="222">
        <v>200580</v>
      </c>
      <c r="E23" s="222">
        <v>0</v>
      </c>
      <c r="F23" s="222">
        <v>205900</v>
      </c>
      <c r="G23" s="222">
        <v>216640</v>
      </c>
      <c r="H23" s="222">
        <v>237530</v>
      </c>
    </row>
    <row r="24" spans="1:8" s="209" customFormat="1">
      <c r="A24" s="220">
        <v>6</v>
      </c>
      <c r="B24" s="232" t="s">
        <v>139</v>
      </c>
      <c r="C24" s="222"/>
      <c r="D24" s="222">
        <v>720810</v>
      </c>
      <c r="E24" s="222">
        <v>0</v>
      </c>
      <c r="F24" s="222">
        <v>661240</v>
      </c>
      <c r="G24" s="222"/>
      <c r="H24" s="222"/>
    </row>
    <row r="25" spans="1:8" s="209" customFormat="1">
      <c r="A25" s="220">
        <v>7</v>
      </c>
      <c r="B25" s="232" t="s">
        <v>59</v>
      </c>
      <c r="C25" s="222"/>
      <c r="D25" s="222">
        <v>146300</v>
      </c>
      <c r="E25" s="222">
        <v>78727</v>
      </c>
      <c r="F25" s="222">
        <v>24400</v>
      </c>
      <c r="G25" s="222">
        <v>307590</v>
      </c>
      <c r="H25" s="222">
        <v>638200</v>
      </c>
    </row>
    <row r="26" spans="1:8" s="209" customFormat="1" ht="31.5">
      <c r="A26" s="233" t="s">
        <v>21</v>
      </c>
      <c r="B26" s="234" t="s">
        <v>140</v>
      </c>
      <c r="C26" s="222">
        <f>C27+C30</f>
        <v>972630.88902999985</v>
      </c>
      <c r="D26" s="222">
        <f t="shared" ref="D26:H26" si="5">D27+D30</f>
        <v>948192</v>
      </c>
      <c r="E26" s="222">
        <f t="shared" si="5"/>
        <v>1308037.555744</v>
      </c>
      <c r="F26" s="222">
        <f t="shared" si="5"/>
        <v>1227212</v>
      </c>
      <c r="G26" s="222">
        <f t="shared" si="5"/>
        <v>1948370</v>
      </c>
      <c r="H26" s="222">
        <f t="shared" si="5"/>
        <v>2572670</v>
      </c>
    </row>
    <row r="27" spans="1:8" s="209" customFormat="1" ht="31.5">
      <c r="A27" s="220">
        <v>1</v>
      </c>
      <c r="B27" s="232" t="s">
        <v>141</v>
      </c>
      <c r="C27" s="222">
        <f>C28+C29</f>
        <v>122651.12423</v>
      </c>
      <c r="D27" s="222">
        <f t="shared" ref="D27:H27" si="6">D28+D29</f>
        <v>230370</v>
      </c>
      <c r="E27" s="222">
        <f t="shared" si="6"/>
        <v>247683.909453</v>
      </c>
      <c r="F27" s="222">
        <f t="shared" si="6"/>
        <v>0</v>
      </c>
      <c r="G27" s="222">
        <f t="shared" si="6"/>
        <v>331730</v>
      </c>
      <c r="H27" s="222">
        <f t="shared" si="6"/>
        <v>398070</v>
      </c>
    </row>
    <row r="28" spans="1:8">
      <c r="A28" s="235"/>
      <c r="B28" s="236" t="s">
        <v>142</v>
      </c>
      <c r="C28" s="237">
        <v>89942.873877000005</v>
      </c>
      <c r="D28" s="237">
        <v>181994</v>
      </c>
      <c r="E28" s="237">
        <v>197655.58312299999</v>
      </c>
      <c r="F28" s="237"/>
      <c r="G28" s="237">
        <v>262070</v>
      </c>
      <c r="H28" s="237">
        <v>314480</v>
      </c>
    </row>
    <row r="29" spans="1:8">
      <c r="A29" s="235"/>
      <c r="B29" s="236" t="s">
        <v>45</v>
      </c>
      <c r="C29" s="237">
        <v>32708.250352999999</v>
      </c>
      <c r="D29" s="237">
        <v>48376</v>
      </c>
      <c r="E29" s="237">
        <v>50028.326329999996</v>
      </c>
      <c r="F29" s="237"/>
      <c r="G29" s="237">
        <v>69660</v>
      </c>
      <c r="H29" s="237">
        <v>83590</v>
      </c>
    </row>
    <row r="30" spans="1:8" s="209" customFormat="1">
      <c r="A30" s="220">
        <v>2</v>
      </c>
      <c r="B30" s="232" t="s">
        <v>50</v>
      </c>
      <c r="C30" s="222">
        <f>C31+C35</f>
        <v>849979.76479999989</v>
      </c>
      <c r="D30" s="222">
        <f t="shared" ref="D30:H30" si="7">D31+D35</f>
        <v>717822</v>
      </c>
      <c r="E30" s="222">
        <f t="shared" si="7"/>
        <v>1060353.6462910001</v>
      </c>
      <c r="F30" s="222">
        <f t="shared" si="7"/>
        <v>1227212</v>
      </c>
      <c r="G30" s="222">
        <f t="shared" si="7"/>
        <v>1616640</v>
      </c>
      <c r="H30" s="222">
        <f t="shared" si="7"/>
        <v>2174600</v>
      </c>
    </row>
    <row r="31" spans="1:8" s="209" customFormat="1">
      <c r="A31" s="238" t="s">
        <v>46</v>
      </c>
      <c r="B31" s="239" t="s">
        <v>142</v>
      </c>
      <c r="C31" s="222">
        <f>C32+C33+C34</f>
        <v>639366.58967299992</v>
      </c>
      <c r="D31" s="222">
        <f t="shared" ref="D31:H31" si="8">D32+D33+D34</f>
        <v>554350</v>
      </c>
      <c r="E31" s="222">
        <f t="shared" si="8"/>
        <v>860131.78771100007</v>
      </c>
      <c r="F31" s="222">
        <f t="shared" si="8"/>
        <v>1114420</v>
      </c>
      <c r="G31" s="222">
        <f t="shared" si="8"/>
        <v>1383800</v>
      </c>
      <c r="H31" s="222">
        <f t="shared" si="8"/>
        <v>1895190</v>
      </c>
    </row>
    <row r="32" spans="1:8">
      <c r="A32" s="240"/>
      <c r="B32" s="236" t="s">
        <v>143</v>
      </c>
      <c r="C32" s="237">
        <v>95927.525263000003</v>
      </c>
      <c r="D32" s="237">
        <v>192000</v>
      </c>
      <c r="E32" s="237">
        <v>192000</v>
      </c>
      <c r="F32" s="237">
        <v>406845</v>
      </c>
      <c r="G32" s="237">
        <v>338510</v>
      </c>
      <c r="H32" s="237">
        <v>640840</v>
      </c>
    </row>
    <row r="33" spans="1:8">
      <c r="A33" s="240"/>
      <c r="B33" s="236" t="s">
        <v>144</v>
      </c>
      <c r="C33" s="237">
        <v>203861.625</v>
      </c>
      <c r="D33" s="237">
        <v>295900</v>
      </c>
      <c r="E33" s="237">
        <f>465471+17998</f>
        <v>483469</v>
      </c>
      <c r="F33" s="237">
        <v>707575</v>
      </c>
      <c r="G33" s="237">
        <v>849090</v>
      </c>
      <c r="H33" s="237">
        <v>1018910</v>
      </c>
    </row>
    <row r="34" spans="1:8">
      <c r="A34" s="240"/>
      <c r="B34" s="236" t="s">
        <v>54</v>
      </c>
      <c r="C34" s="237">
        <v>339577.43940999999</v>
      </c>
      <c r="D34" s="237">
        <v>66450</v>
      </c>
      <c r="E34" s="237">
        <v>184662.78771100001</v>
      </c>
      <c r="F34" s="237"/>
      <c r="G34" s="237">
        <v>196200</v>
      </c>
      <c r="H34" s="237">
        <v>235440</v>
      </c>
    </row>
    <row r="35" spans="1:8" s="209" customFormat="1">
      <c r="A35" s="238" t="s">
        <v>47</v>
      </c>
      <c r="B35" s="239" t="s">
        <v>45</v>
      </c>
      <c r="C35" s="222">
        <f>C36+C37</f>
        <v>210613.17512699999</v>
      </c>
      <c r="D35" s="222">
        <f t="shared" ref="D35:H35" si="9">D36+D37</f>
        <v>163472</v>
      </c>
      <c r="E35" s="222">
        <f t="shared" si="9"/>
        <v>200221.85857999997</v>
      </c>
      <c r="F35" s="222">
        <f t="shared" si="9"/>
        <v>112792</v>
      </c>
      <c r="G35" s="222">
        <f t="shared" si="9"/>
        <v>232840</v>
      </c>
      <c r="H35" s="222">
        <f t="shared" si="9"/>
        <v>279410</v>
      </c>
    </row>
    <row r="36" spans="1:8">
      <c r="A36" s="240"/>
      <c r="B36" s="236" t="s">
        <v>52</v>
      </c>
      <c r="C36" s="237">
        <v>1096.0854999999999</v>
      </c>
      <c r="D36" s="237">
        <v>1780</v>
      </c>
      <c r="E36" s="237">
        <v>1780</v>
      </c>
      <c r="F36" s="237">
        <v>430</v>
      </c>
      <c r="G36" s="237"/>
      <c r="H36" s="237"/>
    </row>
    <row r="37" spans="1:8">
      <c r="A37" s="240"/>
      <c r="B37" s="236" t="s">
        <v>53</v>
      </c>
      <c r="C37" s="237">
        <v>209517.08962700001</v>
      </c>
      <c r="D37" s="237">
        <v>161692</v>
      </c>
      <c r="E37" s="237">
        <v>198441.85857999997</v>
      </c>
      <c r="F37" s="237">
        <v>112362</v>
      </c>
      <c r="G37" s="237">
        <v>232840</v>
      </c>
      <c r="H37" s="237">
        <v>279410</v>
      </c>
    </row>
    <row r="38" spans="1:8">
      <c r="A38" s="240"/>
      <c r="B38" s="236" t="s">
        <v>145</v>
      </c>
      <c r="C38" s="237"/>
      <c r="D38" s="237"/>
      <c r="E38" s="237"/>
      <c r="F38" s="237"/>
      <c r="G38" s="237"/>
      <c r="H38" s="237"/>
    </row>
    <row r="39" spans="1:8">
      <c r="A39" s="240"/>
      <c r="B39" s="236" t="s">
        <v>146</v>
      </c>
      <c r="C39" s="237"/>
      <c r="D39" s="237"/>
      <c r="E39" s="237"/>
      <c r="F39" s="237"/>
      <c r="G39" s="237"/>
      <c r="H39" s="237"/>
    </row>
    <row r="40" spans="1:8" s="229" customFormat="1">
      <c r="A40" s="241"/>
      <c r="B40" s="227" t="s">
        <v>147</v>
      </c>
      <c r="C40" s="228">
        <v>20862.863181000004</v>
      </c>
      <c r="D40" s="228">
        <v>39480</v>
      </c>
      <c r="E40" s="228">
        <v>44874.434300000001</v>
      </c>
      <c r="F40" s="228"/>
      <c r="G40" s="228"/>
      <c r="H40" s="228"/>
    </row>
    <row r="41" spans="1:8">
      <c r="A41" s="242"/>
      <c r="B41" s="242"/>
      <c r="C41" s="243"/>
      <c r="D41" s="243"/>
      <c r="E41" s="243"/>
      <c r="F41" s="244"/>
      <c r="G41" s="244"/>
      <c r="H41" s="244"/>
    </row>
    <row r="43" spans="1:8">
      <c r="B43" s="325"/>
      <c r="C43" s="325"/>
      <c r="D43" s="325"/>
      <c r="E43" s="325"/>
      <c r="F43" s="325"/>
      <c r="G43" s="325"/>
      <c r="H43" s="325"/>
    </row>
  </sheetData>
  <mergeCells count="11">
    <mergeCell ref="B43:H43"/>
    <mergeCell ref="H5:H6"/>
    <mergeCell ref="F4:H4"/>
    <mergeCell ref="G1:H1"/>
    <mergeCell ref="A2:H2"/>
    <mergeCell ref="A5:A6"/>
    <mergeCell ref="B5:B6"/>
    <mergeCell ref="C5:C6"/>
    <mergeCell ref="D5:E5"/>
    <mergeCell ref="F5:F6"/>
    <mergeCell ref="G5:G6"/>
  </mergeCells>
  <printOptions horizontalCentered="1"/>
  <pageMargins left="0.25" right="0.25" top="0.75" bottom="0.75" header="0.3" footer="0.3"/>
  <pageSetup paperSize="9" orientation="landscape" r:id="rId1"/>
  <headerFooter>
    <oddFooter>&amp;R&amp;P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90"/>
  <sheetViews>
    <sheetView topLeftCell="A4" workbookViewId="0">
      <pane xSplit="2" ySplit="2" topLeftCell="C6" activePane="bottomRight" state="frozen"/>
      <selection activeCell="A4" sqref="A4"/>
      <selection pane="topRight" activeCell="C4" sqref="C4"/>
      <selection pane="bottomLeft" activeCell="A6" sqref="A6"/>
      <selection pane="bottomRight" activeCell="F11" sqref="F11"/>
    </sheetView>
  </sheetViews>
  <sheetFormatPr defaultColWidth="10.42578125" defaultRowHeight="15.75"/>
  <cols>
    <col min="1" max="1" width="6.5703125" style="123" customWidth="1"/>
    <col min="2" max="2" width="74.140625" style="75" customWidth="1"/>
    <col min="3" max="3" width="13.140625" style="124" customWidth="1"/>
    <col min="4" max="5" width="12.42578125" style="124" customWidth="1"/>
    <col min="6" max="6" width="11.5703125" style="124" customWidth="1"/>
    <col min="7" max="7" width="11.28515625" style="124" customWidth="1"/>
    <col min="8" max="8" width="11.140625" style="124" customWidth="1"/>
    <col min="9" max="9" width="12.140625" style="75" bestFit="1" customWidth="1"/>
    <col min="10" max="256" width="10.42578125" style="75"/>
    <col min="257" max="257" width="5.140625" style="75" bestFit="1" customWidth="1"/>
    <col min="258" max="258" width="64.85546875" style="75" customWidth="1"/>
    <col min="259" max="263" width="10.42578125" style="75"/>
    <col min="264" max="264" width="0" style="75" hidden="1" customWidth="1"/>
    <col min="265" max="265" width="11.7109375" style="75" bestFit="1" customWidth="1"/>
    <col min="266" max="512" width="10.42578125" style="75"/>
    <col min="513" max="513" width="5.140625" style="75" bestFit="1" customWidth="1"/>
    <col min="514" max="514" width="64.85546875" style="75" customWidth="1"/>
    <col min="515" max="519" width="10.42578125" style="75"/>
    <col min="520" max="520" width="0" style="75" hidden="1" customWidth="1"/>
    <col min="521" max="521" width="11.7109375" style="75" bestFit="1" customWidth="1"/>
    <col min="522" max="768" width="10.42578125" style="75"/>
    <col min="769" max="769" width="5.140625" style="75" bestFit="1" customWidth="1"/>
    <col min="770" max="770" width="64.85546875" style="75" customWidth="1"/>
    <col min="771" max="775" width="10.42578125" style="75"/>
    <col min="776" max="776" width="0" style="75" hidden="1" customWidth="1"/>
    <col min="777" max="777" width="11.7109375" style="75" bestFit="1" customWidth="1"/>
    <col min="778" max="1024" width="10.42578125" style="75"/>
    <col min="1025" max="1025" width="5.140625" style="75" bestFit="1" customWidth="1"/>
    <col min="1026" max="1026" width="64.85546875" style="75" customWidth="1"/>
    <col min="1027" max="1031" width="10.42578125" style="75"/>
    <col min="1032" max="1032" width="0" style="75" hidden="1" customWidth="1"/>
    <col min="1033" max="1033" width="11.7109375" style="75" bestFit="1" customWidth="1"/>
    <col min="1034" max="1280" width="10.42578125" style="75"/>
    <col min="1281" max="1281" width="5.140625" style="75" bestFit="1" customWidth="1"/>
    <col min="1282" max="1282" width="64.85546875" style="75" customWidth="1"/>
    <col min="1283" max="1287" width="10.42578125" style="75"/>
    <col min="1288" max="1288" width="0" style="75" hidden="1" customWidth="1"/>
    <col min="1289" max="1289" width="11.7109375" style="75" bestFit="1" customWidth="1"/>
    <col min="1290" max="1536" width="10.42578125" style="75"/>
    <col min="1537" max="1537" width="5.140625" style="75" bestFit="1" customWidth="1"/>
    <col min="1538" max="1538" width="64.85546875" style="75" customWidth="1"/>
    <col min="1539" max="1543" width="10.42578125" style="75"/>
    <col min="1544" max="1544" width="0" style="75" hidden="1" customWidth="1"/>
    <col min="1545" max="1545" width="11.7109375" style="75" bestFit="1" customWidth="1"/>
    <col min="1546" max="1792" width="10.42578125" style="75"/>
    <col min="1793" max="1793" width="5.140625" style="75" bestFit="1" customWidth="1"/>
    <col min="1794" max="1794" width="64.85546875" style="75" customWidth="1"/>
    <col min="1795" max="1799" width="10.42578125" style="75"/>
    <col min="1800" max="1800" width="0" style="75" hidden="1" customWidth="1"/>
    <col min="1801" max="1801" width="11.7109375" style="75" bestFit="1" customWidth="1"/>
    <col min="1802" max="2048" width="10.42578125" style="75"/>
    <col min="2049" max="2049" width="5.140625" style="75" bestFit="1" customWidth="1"/>
    <col min="2050" max="2050" width="64.85546875" style="75" customWidth="1"/>
    <col min="2051" max="2055" width="10.42578125" style="75"/>
    <col min="2056" max="2056" width="0" style="75" hidden="1" customWidth="1"/>
    <col min="2057" max="2057" width="11.7109375" style="75" bestFit="1" customWidth="1"/>
    <col min="2058" max="2304" width="10.42578125" style="75"/>
    <col min="2305" max="2305" width="5.140625" style="75" bestFit="1" customWidth="1"/>
    <col min="2306" max="2306" width="64.85546875" style="75" customWidth="1"/>
    <col min="2307" max="2311" width="10.42578125" style="75"/>
    <col min="2312" max="2312" width="0" style="75" hidden="1" customWidth="1"/>
    <col min="2313" max="2313" width="11.7109375" style="75" bestFit="1" customWidth="1"/>
    <col min="2314" max="2560" width="10.42578125" style="75"/>
    <col min="2561" max="2561" width="5.140625" style="75" bestFit="1" customWidth="1"/>
    <col min="2562" max="2562" width="64.85546875" style="75" customWidth="1"/>
    <col min="2563" max="2567" width="10.42578125" style="75"/>
    <col min="2568" max="2568" width="0" style="75" hidden="1" customWidth="1"/>
    <col min="2569" max="2569" width="11.7109375" style="75" bestFit="1" customWidth="1"/>
    <col min="2570" max="2816" width="10.42578125" style="75"/>
    <col min="2817" max="2817" width="5.140625" style="75" bestFit="1" customWidth="1"/>
    <col min="2818" max="2818" width="64.85546875" style="75" customWidth="1"/>
    <col min="2819" max="2823" width="10.42578125" style="75"/>
    <col min="2824" max="2824" width="0" style="75" hidden="1" customWidth="1"/>
    <col min="2825" max="2825" width="11.7109375" style="75" bestFit="1" customWidth="1"/>
    <col min="2826" max="3072" width="10.42578125" style="75"/>
    <col min="3073" max="3073" width="5.140625" style="75" bestFit="1" customWidth="1"/>
    <col min="3074" max="3074" width="64.85546875" style="75" customWidth="1"/>
    <col min="3075" max="3079" width="10.42578125" style="75"/>
    <col min="3080" max="3080" width="0" style="75" hidden="1" customWidth="1"/>
    <col min="3081" max="3081" width="11.7109375" style="75" bestFit="1" customWidth="1"/>
    <col min="3082" max="3328" width="10.42578125" style="75"/>
    <col min="3329" max="3329" width="5.140625" style="75" bestFit="1" customWidth="1"/>
    <col min="3330" max="3330" width="64.85546875" style="75" customWidth="1"/>
    <col min="3331" max="3335" width="10.42578125" style="75"/>
    <col min="3336" max="3336" width="0" style="75" hidden="1" customWidth="1"/>
    <col min="3337" max="3337" width="11.7109375" style="75" bestFit="1" customWidth="1"/>
    <col min="3338" max="3584" width="10.42578125" style="75"/>
    <col min="3585" max="3585" width="5.140625" style="75" bestFit="1" customWidth="1"/>
    <col min="3586" max="3586" width="64.85546875" style="75" customWidth="1"/>
    <col min="3587" max="3591" width="10.42578125" style="75"/>
    <col min="3592" max="3592" width="0" style="75" hidden="1" customWidth="1"/>
    <col min="3593" max="3593" width="11.7109375" style="75" bestFit="1" customWidth="1"/>
    <col min="3594" max="3840" width="10.42578125" style="75"/>
    <col min="3841" max="3841" width="5.140625" style="75" bestFit="1" customWidth="1"/>
    <col min="3842" max="3842" width="64.85546875" style="75" customWidth="1"/>
    <col min="3843" max="3847" width="10.42578125" style="75"/>
    <col min="3848" max="3848" width="0" style="75" hidden="1" customWidth="1"/>
    <col min="3849" max="3849" width="11.7109375" style="75" bestFit="1" customWidth="1"/>
    <col min="3850" max="4096" width="10.42578125" style="75"/>
    <col min="4097" max="4097" width="5.140625" style="75" bestFit="1" customWidth="1"/>
    <col min="4098" max="4098" width="64.85546875" style="75" customWidth="1"/>
    <col min="4099" max="4103" width="10.42578125" style="75"/>
    <col min="4104" max="4104" width="0" style="75" hidden="1" customWidth="1"/>
    <col min="4105" max="4105" width="11.7109375" style="75" bestFit="1" customWidth="1"/>
    <col min="4106" max="4352" width="10.42578125" style="75"/>
    <col min="4353" max="4353" width="5.140625" style="75" bestFit="1" customWidth="1"/>
    <col min="4354" max="4354" width="64.85546875" style="75" customWidth="1"/>
    <col min="4355" max="4359" width="10.42578125" style="75"/>
    <col min="4360" max="4360" width="0" style="75" hidden="1" customWidth="1"/>
    <col min="4361" max="4361" width="11.7109375" style="75" bestFit="1" customWidth="1"/>
    <col min="4362" max="4608" width="10.42578125" style="75"/>
    <col min="4609" max="4609" width="5.140625" style="75" bestFit="1" customWidth="1"/>
    <col min="4610" max="4610" width="64.85546875" style="75" customWidth="1"/>
    <col min="4611" max="4615" width="10.42578125" style="75"/>
    <col min="4616" max="4616" width="0" style="75" hidden="1" customWidth="1"/>
    <col min="4617" max="4617" width="11.7109375" style="75" bestFit="1" customWidth="1"/>
    <col min="4618" max="4864" width="10.42578125" style="75"/>
    <col min="4865" max="4865" width="5.140625" style="75" bestFit="1" customWidth="1"/>
    <col min="4866" max="4866" width="64.85546875" style="75" customWidth="1"/>
    <col min="4867" max="4871" width="10.42578125" style="75"/>
    <col min="4872" max="4872" width="0" style="75" hidden="1" customWidth="1"/>
    <col min="4873" max="4873" width="11.7109375" style="75" bestFit="1" customWidth="1"/>
    <col min="4874" max="5120" width="10.42578125" style="75"/>
    <col min="5121" max="5121" width="5.140625" style="75" bestFit="1" customWidth="1"/>
    <col min="5122" max="5122" width="64.85546875" style="75" customWidth="1"/>
    <col min="5123" max="5127" width="10.42578125" style="75"/>
    <col min="5128" max="5128" width="0" style="75" hidden="1" customWidth="1"/>
    <col min="5129" max="5129" width="11.7109375" style="75" bestFit="1" customWidth="1"/>
    <col min="5130" max="5376" width="10.42578125" style="75"/>
    <col min="5377" max="5377" width="5.140625" style="75" bestFit="1" customWidth="1"/>
    <col min="5378" max="5378" width="64.85546875" style="75" customWidth="1"/>
    <col min="5379" max="5383" width="10.42578125" style="75"/>
    <col min="5384" max="5384" width="0" style="75" hidden="1" customWidth="1"/>
    <col min="5385" max="5385" width="11.7109375" style="75" bestFit="1" customWidth="1"/>
    <col min="5386" max="5632" width="10.42578125" style="75"/>
    <col min="5633" max="5633" width="5.140625" style="75" bestFit="1" customWidth="1"/>
    <col min="5634" max="5634" width="64.85546875" style="75" customWidth="1"/>
    <col min="5635" max="5639" width="10.42578125" style="75"/>
    <col min="5640" max="5640" width="0" style="75" hidden="1" customWidth="1"/>
    <col min="5641" max="5641" width="11.7109375" style="75" bestFit="1" customWidth="1"/>
    <col min="5642" max="5888" width="10.42578125" style="75"/>
    <col min="5889" max="5889" width="5.140625" style="75" bestFit="1" customWidth="1"/>
    <col min="5890" max="5890" width="64.85546875" style="75" customWidth="1"/>
    <col min="5891" max="5895" width="10.42578125" style="75"/>
    <col min="5896" max="5896" width="0" style="75" hidden="1" customWidth="1"/>
    <col min="5897" max="5897" width="11.7109375" style="75" bestFit="1" customWidth="1"/>
    <col min="5898" max="6144" width="10.42578125" style="75"/>
    <col min="6145" max="6145" width="5.140625" style="75" bestFit="1" customWidth="1"/>
    <col min="6146" max="6146" width="64.85546875" style="75" customWidth="1"/>
    <col min="6147" max="6151" width="10.42578125" style="75"/>
    <col min="6152" max="6152" width="0" style="75" hidden="1" customWidth="1"/>
    <col min="6153" max="6153" width="11.7109375" style="75" bestFit="1" customWidth="1"/>
    <col min="6154" max="6400" width="10.42578125" style="75"/>
    <col min="6401" max="6401" width="5.140625" style="75" bestFit="1" customWidth="1"/>
    <col min="6402" max="6402" width="64.85546875" style="75" customWidth="1"/>
    <col min="6403" max="6407" width="10.42578125" style="75"/>
    <col min="6408" max="6408" width="0" style="75" hidden="1" customWidth="1"/>
    <col min="6409" max="6409" width="11.7109375" style="75" bestFit="1" customWidth="1"/>
    <col min="6410" max="6656" width="10.42578125" style="75"/>
    <col min="6657" max="6657" width="5.140625" style="75" bestFit="1" customWidth="1"/>
    <col min="6658" max="6658" width="64.85546875" style="75" customWidth="1"/>
    <col min="6659" max="6663" width="10.42578125" style="75"/>
    <col min="6664" max="6664" width="0" style="75" hidden="1" customWidth="1"/>
    <col min="6665" max="6665" width="11.7109375" style="75" bestFit="1" customWidth="1"/>
    <col min="6666" max="6912" width="10.42578125" style="75"/>
    <col min="6913" max="6913" width="5.140625" style="75" bestFit="1" customWidth="1"/>
    <col min="6914" max="6914" width="64.85546875" style="75" customWidth="1"/>
    <col min="6915" max="6919" width="10.42578125" style="75"/>
    <col min="6920" max="6920" width="0" style="75" hidden="1" customWidth="1"/>
    <col min="6921" max="6921" width="11.7109375" style="75" bestFit="1" customWidth="1"/>
    <col min="6922" max="7168" width="10.42578125" style="75"/>
    <col min="7169" max="7169" width="5.140625" style="75" bestFit="1" customWidth="1"/>
    <col min="7170" max="7170" width="64.85546875" style="75" customWidth="1"/>
    <col min="7171" max="7175" width="10.42578125" style="75"/>
    <col min="7176" max="7176" width="0" style="75" hidden="1" customWidth="1"/>
    <col min="7177" max="7177" width="11.7109375" style="75" bestFit="1" customWidth="1"/>
    <col min="7178" max="7424" width="10.42578125" style="75"/>
    <col min="7425" max="7425" width="5.140625" style="75" bestFit="1" customWidth="1"/>
    <col min="7426" max="7426" width="64.85546875" style="75" customWidth="1"/>
    <col min="7427" max="7431" width="10.42578125" style="75"/>
    <col min="7432" max="7432" width="0" style="75" hidden="1" customWidth="1"/>
    <col min="7433" max="7433" width="11.7109375" style="75" bestFit="1" customWidth="1"/>
    <col min="7434" max="7680" width="10.42578125" style="75"/>
    <col min="7681" max="7681" width="5.140625" style="75" bestFit="1" customWidth="1"/>
    <col min="7682" max="7682" width="64.85546875" style="75" customWidth="1"/>
    <col min="7683" max="7687" width="10.42578125" style="75"/>
    <col min="7688" max="7688" width="0" style="75" hidden="1" customWidth="1"/>
    <col min="7689" max="7689" width="11.7109375" style="75" bestFit="1" customWidth="1"/>
    <col min="7690" max="7936" width="10.42578125" style="75"/>
    <col min="7937" max="7937" width="5.140625" style="75" bestFit="1" customWidth="1"/>
    <col min="7938" max="7938" width="64.85546875" style="75" customWidth="1"/>
    <col min="7939" max="7943" width="10.42578125" style="75"/>
    <col min="7944" max="7944" width="0" style="75" hidden="1" customWidth="1"/>
    <col min="7945" max="7945" width="11.7109375" style="75" bestFit="1" customWidth="1"/>
    <col min="7946" max="8192" width="10.42578125" style="75"/>
    <col min="8193" max="8193" width="5.140625" style="75" bestFit="1" customWidth="1"/>
    <col min="8194" max="8194" width="64.85546875" style="75" customWidth="1"/>
    <col min="8195" max="8199" width="10.42578125" style="75"/>
    <col min="8200" max="8200" width="0" style="75" hidden="1" customWidth="1"/>
    <col min="8201" max="8201" width="11.7109375" style="75" bestFit="1" customWidth="1"/>
    <col min="8202" max="8448" width="10.42578125" style="75"/>
    <col min="8449" max="8449" width="5.140625" style="75" bestFit="1" customWidth="1"/>
    <col min="8450" max="8450" width="64.85546875" style="75" customWidth="1"/>
    <col min="8451" max="8455" width="10.42578125" style="75"/>
    <col min="8456" max="8456" width="0" style="75" hidden="1" customWidth="1"/>
    <col min="8457" max="8457" width="11.7109375" style="75" bestFit="1" customWidth="1"/>
    <col min="8458" max="8704" width="10.42578125" style="75"/>
    <col min="8705" max="8705" width="5.140625" style="75" bestFit="1" customWidth="1"/>
    <col min="8706" max="8706" width="64.85546875" style="75" customWidth="1"/>
    <col min="8707" max="8711" width="10.42578125" style="75"/>
    <col min="8712" max="8712" width="0" style="75" hidden="1" customWidth="1"/>
    <col min="8713" max="8713" width="11.7109375" style="75" bestFit="1" customWidth="1"/>
    <col min="8714" max="8960" width="10.42578125" style="75"/>
    <col min="8961" max="8961" width="5.140625" style="75" bestFit="1" customWidth="1"/>
    <col min="8962" max="8962" width="64.85546875" style="75" customWidth="1"/>
    <col min="8963" max="8967" width="10.42578125" style="75"/>
    <col min="8968" max="8968" width="0" style="75" hidden="1" customWidth="1"/>
    <col min="8969" max="8969" width="11.7109375" style="75" bestFit="1" customWidth="1"/>
    <col min="8970" max="9216" width="10.42578125" style="75"/>
    <col min="9217" max="9217" width="5.140625" style="75" bestFit="1" customWidth="1"/>
    <col min="9218" max="9218" width="64.85546875" style="75" customWidth="1"/>
    <col min="9219" max="9223" width="10.42578125" style="75"/>
    <col min="9224" max="9224" width="0" style="75" hidden="1" customWidth="1"/>
    <col min="9225" max="9225" width="11.7109375" style="75" bestFit="1" customWidth="1"/>
    <col min="9226" max="9472" width="10.42578125" style="75"/>
    <col min="9473" max="9473" width="5.140625" style="75" bestFit="1" customWidth="1"/>
    <col min="9474" max="9474" width="64.85546875" style="75" customWidth="1"/>
    <col min="9475" max="9479" width="10.42578125" style="75"/>
    <col min="9480" max="9480" width="0" style="75" hidden="1" customWidth="1"/>
    <col min="9481" max="9481" width="11.7109375" style="75" bestFit="1" customWidth="1"/>
    <col min="9482" max="9728" width="10.42578125" style="75"/>
    <col min="9729" max="9729" width="5.140625" style="75" bestFit="1" customWidth="1"/>
    <col min="9730" max="9730" width="64.85546875" style="75" customWidth="1"/>
    <col min="9731" max="9735" width="10.42578125" style="75"/>
    <col min="9736" max="9736" width="0" style="75" hidden="1" customWidth="1"/>
    <col min="9737" max="9737" width="11.7109375" style="75" bestFit="1" customWidth="1"/>
    <col min="9738" max="9984" width="10.42578125" style="75"/>
    <col min="9985" max="9985" width="5.140625" style="75" bestFit="1" customWidth="1"/>
    <col min="9986" max="9986" width="64.85546875" style="75" customWidth="1"/>
    <col min="9987" max="9991" width="10.42578125" style="75"/>
    <col min="9992" max="9992" width="0" style="75" hidden="1" customWidth="1"/>
    <col min="9993" max="9993" width="11.7109375" style="75" bestFit="1" customWidth="1"/>
    <col min="9994" max="10240" width="10.42578125" style="75"/>
    <col min="10241" max="10241" width="5.140625" style="75" bestFit="1" customWidth="1"/>
    <col min="10242" max="10242" width="64.85546875" style="75" customWidth="1"/>
    <col min="10243" max="10247" width="10.42578125" style="75"/>
    <col min="10248" max="10248" width="0" style="75" hidden="1" customWidth="1"/>
    <col min="10249" max="10249" width="11.7109375" style="75" bestFit="1" customWidth="1"/>
    <col min="10250" max="10496" width="10.42578125" style="75"/>
    <col min="10497" max="10497" width="5.140625" style="75" bestFit="1" customWidth="1"/>
    <col min="10498" max="10498" width="64.85546875" style="75" customWidth="1"/>
    <col min="10499" max="10503" width="10.42578125" style="75"/>
    <col min="10504" max="10504" width="0" style="75" hidden="1" customWidth="1"/>
    <col min="10505" max="10505" width="11.7109375" style="75" bestFit="1" customWidth="1"/>
    <col min="10506" max="10752" width="10.42578125" style="75"/>
    <col min="10753" max="10753" width="5.140625" style="75" bestFit="1" customWidth="1"/>
    <col min="10754" max="10754" width="64.85546875" style="75" customWidth="1"/>
    <col min="10755" max="10759" width="10.42578125" style="75"/>
    <col min="10760" max="10760" width="0" style="75" hidden="1" customWidth="1"/>
    <col min="10761" max="10761" width="11.7109375" style="75" bestFit="1" customWidth="1"/>
    <col min="10762" max="11008" width="10.42578125" style="75"/>
    <col min="11009" max="11009" width="5.140625" style="75" bestFit="1" customWidth="1"/>
    <col min="11010" max="11010" width="64.85546875" style="75" customWidth="1"/>
    <col min="11011" max="11015" width="10.42578125" style="75"/>
    <col min="11016" max="11016" width="0" style="75" hidden="1" customWidth="1"/>
    <col min="11017" max="11017" width="11.7109375" style="75" bestFit="1" customWidth="1"/>
    <col min="11018" max="11264" width="10.42578125" style="75"/>
    <col min="11265" max="11265" width="5.140625" style="75" bestFit="1" customWidth="1"/>
    <col min="11266" max="11266" width="64.85546875" style="75" customWidth="1"/>
    <col min="11267" max="11271" width="10.42578125" style="75"/>
    <col min="11272" max="11272" width="0" style="75" hidden="1" customWidth="1"/>
    <col min="11273" max="11273" width="11.7109375" style="75" bestFit="1" customWidth="1"/>
    <col min="11274" max="11520" width="10.42578125" style="75"/>
    <col min="11521" max="11521" width="5.140625" style="75" bestFit="1" customWidth="1"/>
    <col min="11522" max="11522" width="64.85546875" style="75" customWidth="1"/>
    <col min="11523" max="11527" width="10.42578125" style="75"/>
    <col min="11528" max="11528" width="0" style="75" hidden="1" customWidth="1"/>
    <col min="11529" max="11529" width="11.7109375" style="75" bestFit="1" customWidth="1"/>
    <col min="11530" max="11776" width="10.42578125" style="75"/>
    <col min="11777" max="11777" width="5.140625" style="75" bestFit="1" customWidth="1"/>
    <col min="11778" max="11778" width="64.85546875" style="75" customWidth="1"/>
    <col min="11779" max="11783" width="10.42578125" style="75"/>
    <col min="11784" max="11784" width="0" style="75" hidden="1" customWidth="1"/>
    <col min="11785" max="11785" width="11.7109375" style="75" bestFit="1" customWidth="1"/>
    <col min="11786" max="12032" width="10.42578125" style="75"/>
    <col min="12033" max="12033" width="5.140625" style="75" bestFit="1" customWidth="1"/>
    <col min="12034" max="12034" width="64.85546875" style="75" customWidth="1"/>
    <col min="12035" max="12039" width="10.42578125" style="75"/>
    <col min="12040" max="12040" width="0" style="75" hidden="1" customWidth="1"/>
    <col min="12041" max="12041" width="11.7109375" style="75" bestFit="1" customWidth="1"/>
    <col min="12042" max="12288" width="10.42578125" style="75"/>
    <col min="12289" max="12289" width="5.140625" style="75" bestFit="1" customWidth="1"/>
    <col min="12290" max="12290" width="64.85546875" style="75" customWidth="1"/>
    <col min="12291" max="12295" width="10.42578125" style="75"/>
    <col min="12296" max="12296" width="0" style="75" hidden="1" customWidth="1"/>
    <col min="12297" max="12297" width="11.7109375" style="75" bestFit="1" customWidth="1"/>
    <col min="12298" max="12544" width="10.42578125" style="75"/>
    <col min="12545" max="12545" width="5.140625" style="75" bestFit="1" customWidth="1"/>
    <col min="12546" max="12546" width="64.85546875" style="75" customWidth="1"/>
    <col min="12547" max="12551" width="10.42578125" style="75"/>
    <col min="12552" max="12552" width="0" style="75" hidden="1" customWidth="1"/>
    <col min="12553" max="12553" width="11.7109375" style="75" bestFit="1" customWidth="1"/>
    <col min="12554" max="12800" width="10.42578125" style="75"/>
    <col min="12801" max="12801" width="5.140625" style="75" bestFit="1" customWidth="1"/>
    <col min="12802" max="12802" width="64.85546875" style="75" customWidth="1"/>
    <col min="12803" max="12807" width="10.42578125" style="75"/>
    <col min="12808" max="12808" width="0" style="75" hidden="1" customWidth="1"/>
    <col min="12809" max="12809" width="11.7109375" style="75" bestFit="1" customWidth="1"/>
    <col min="12810" max="13056" width="10.42578125" style="75"/>
    <col min="13057" max="13057" width="5.140625" style="75" bestFit="1" customWidth="1"/>
    <col min="13058" max="13058" width="64.85546875" style="75" customWidth="1"/>
    <col min="13059" max="13063" width="10.42578125" style="75"/>
    <col min="13064" max="13064" width="0" style="75" hidden="1" customWidth="1"/>
    <col min="13065" max="13065" width="11.7109375" style="75" bestFit="1" customWidth="1"/>
    <col min="13066" max="13312" width="10.42578125" style="75"/>
    <col min="13313" max="13313" width="5.140625" style="75" bestFit="1" customWidth="1"/>
    <col min="13314" max="13314" width="64.85546875" style="75" customWidth="1"/>
    <col min="13315" max="13319" width="10.42578125" style="75"/>
    <col min="13320" max="13320" width="0" style="75" hidden="1" customWidth="1"/>
    <col min="13321" max="13321" width="11.7109375" style="75" bestFit="1" customWidth="1"/>
    <col min="13322" max="13568" width="10.42578125" style="75"/>
    <col min="13569" max="13569" width="5.140625" style="75" bestFit="1" customWidth="1"/>
    <col min="13570" max="13570" width="64.85546875" style="75" customWidth="1"/>
    <col min="13571" max="13575" width="10.42578125" style="75"/>
    <col min="13576" max="13576" width="0" style="75" hidden="1" customWidth="1"/>
    <col min="13577" max="13577" width="11.7109375" style="75" bestFit="1" customWidth="1"/>
    <col min="13578" max="13824" width="10.42578125" style="75"/>
    <col min="13825" max="13825" width="5.140625" style="75" bestFit="1" customWidth="1"/>
    <col min="13826" max="13826" width="64.85546875" style="75" customWidth="1"/>
    <col min="13827" max="13831" width="10.42578125" style="75"/>
    <col min="13832" max="13832" width="0" style="75" hidden="1" customWidth="1"/>
    <col min="13833" max="13833" width="11.7109375" style="75" bestFit="1" customWidth="1"/>
    <col min="13834" max="14080" width="10.42578125" style="75"/>
    <col min="14081" max="14081" width="5.140625" style="75" bestFit="1" customWidth="1"/>
    <col min="14082" max="14082" width="64.85546875" style="75" customWidth="1"/>
    <col min="14083" max="14087" width="10.42578125" style="75"/>
    <col min="14088" max="14088" width="0" style="75" hidden="1" customWidth="1"/>
    <col min="14089" max="14089" width="11.7109375" style="75" bestFit="1" customWidth="1"/>
    <col min="14090" max="14336" width="10.42578125" style="75"/>
    <col min="14337" max="14337" width="5.140625" style="75" bestFit="1" customWidth="1"/>
    <col min="14338" max="14338" width="64.85546875" style="75" customWidth="1"/>
    <col min="14339" max="14343" width="10.42578125" style="75"/>
    <col min="14344" max="14344" width="0" style="75" hidden="1" customWidth="1"/>
    <col min="14345" max="14345" width="11.7109375" style="75" bestFit="1" customWidth="1"/>
    <col min="14346" max="14592" width="10.42578125" style="75"/>
    <col min="14593" max="14593" width="5.140625" style="75" bestFit="1" customWidth="1"/>
    <col min="14594" max="14594" width="64.85546875" style="75" customWidth="1"/>
    <col min="14595" max="14599" width="10.42578125" style="75"/>
    <col min="14600" max="14600" width="0" style="75" hidden="1" customWidth="1"/>
    <col min="14601" max="14601" width="11.7109375" style="75" bestFit="1" customWidth="1"/>
    <col min="14602" max="14848" width="10.42578125" style="75"/>
    <col min="14849" max="14849" width="5.140625" style="75" bestFit="1" customWidth="1"/>
    <col min="14850" max="14850" width="64.85546875" style="75" customWidth="1"/>
    <col min="14851" max="14855" width="10.42578125" style="75"/>
    <col min="14856" max="14856" width="0" style="75" hidden="1" customWidth="1"/>
    <col min="14857" max="14857" width="11.7109375" style="75" bestFit="1" customWidth="1"/>
    <col min="14858" max="15104" width="10.42578125" style="75"/>
    <col min="15105" max="15105" width="5.140625" style="75" bestFit="1" customWidth="1"/>
    <col min="15106" max="15106" width="64.85546875" style="75" customWidth="1"/>
    <col min="15107" max="15111" width="10.42578125" style="75"/>
    <col min="15112" max="15112" width="0" style="75" hidden="1" customWidth="1"/>
    <col min="15113" max="15113" width="11.7109375" style="75" bestFit="1" customWidth="1"/>
    <col min="15114" max="15360" width="10.42578125" style="75"/>
    <col min="15361" max="15361" width="5.140625" style="75" bestFit="1" customWidth="1"/>
    <col min="15362" max="15362" width="64.85546875" style="75" customWidth="1"/>
    <col min="15363" max="15367" width="10.42578125" style="75"/>
    <col min="15368" max="15368" width="0" style="75" hidden="1" customWidth="1"/>
    <col min="15369" max="15369" width="11.7109375" style="75" bestFit="1" customWidth="1"/>
    <col min="15370" max="15616" width="10.42578125" style="75"/>
    <col min="15617" max="15617" width="5.140625" style="75" bestFit="1" customWidth="1"/>
    <col min="15618" max="15618" width="64.85546875" style="75" customWidth="1"/>
    <col min="15619" max="15623" width="10.42578125" style="75"/>
    <col min="15624" max="15624" width="0" style="75" hidden="1" customWidth="1"/>
    <col min="15625" max="15625" width="11.7109375" style="75" bestFit="1" customWidth="1"/>
    <col min="15626" max="15872" width="10.42578125" style="75"/>
    <col min="15873" max="15873" width="5.140625" style="75" bestFit="1" customWidth="1"/>
    <col min="15874" max="15874" width="64.85546875" style="75" customWidth="1"/>
    <col min="15875" max="15879" width="10.42578125" style="75"/>
    <col min="15880" max="15880" width="0" style="75" hidden="1" customWidth="1"/>
    <col min="15881" max="15881" width="11.7109375" style="75" bestFit="1" customWidth="1"/>
    <col min="15882" max="16128" width="10.42578125" style="75"/>
    <col min="16129" max="16129" width="5.140625" style="75" bestFit="1" customWidth="1"/>
    <col min="16130" max="16130" width="64.85546875" style="75" customWidth="1"/>
    <col min="16131" max="16135" width="10.42578125" style="75"/>
    <col min="16136" max="16136" width="0" style="75" hidden="1" customWidth="1"/>
    <col min="16137" max="16137" width="11.7109375" style="75" bestFit="1" customWidth="1"/>
    <col min="16138" max="16384" width="10.42578125" style="75"/>
  </cols>
  <sheetData>
    <row r="1" spans="1:11" s="200" customFormat="1" ht="18.75">
      <c r="A1" s="197"/>
      <c r="B1" s="198"/>
      <c r="C1" s="198"/>
      <c r="D1" s="198"/>
      <c r="E1" s="199"/>
      <c r="F1" s="199"/>
      <c r="G1" s="333" t="s">
        <v>165</v>
      </c>
      <c r="H1" s="333"/>
    </row>
    <row r="2" spans="1:11" s="200" customFormat="1" ht="18.75">
      <c r="A2" s="334" t="s">
        <v>208</v>
      </c>
      <c r="B2" s="334"/>
      <c r="C2" s="334"/>
      <c r="D2" s="334"/>
      <c r="E2" s="334"/>
      <c r="F2" s="334"/>
      <c r="G2" s="334"/>
      <c r="H2" s="334"/>
    </row>
    <row r="3" spans="1:11" s="200" customFormat="1" ht="18.75">
      <c r="A3" s="335" t="s">
        <v>209</v>
      </c>
      <c r="B3" s="335"/>
      <c r="C3" s="335"/>
      <c r="D3" s="335"/>
      <c r="E3" s="335"/>
      <c r="F3" s="335"/>
      <c r="G3" s="335"/>
      <c r="H3" s="335"/>
    </row>
    <row r="4" spans="1:11" ht="18.75">
      <c r="A4" s="76"/>
      <c r="B4" s="77"/>
      <c r="C4" s="77"/>
      <c r="D4" s="77"/>
      <c r="E4" s="78"/>
      <c r="F4" s="78"/>
      <c r="G4" s="336" t="s">
        <v>157</v>
      </c>
      <c r="H4" s="336"/>
    </row>
    <row r="5" spans="1:11" ht="39" customHeight="1">
      <c r="A5" s="131" t="s">
        <v>26</v>
      </c>
      <c r="B5" s="131" t="s">
        <v>27</v>
      </c>
      <c r="C5" s="1" t="s">
        <v>210</v>
      </c>
      <c r="D5" s="1" t="s">
        <v>166</v>
      </c>
      <c r="E5" s="1" t="s">
        <v>211</v>
      </c>
      <c r="F5" s="132" t="s">
        <v>170</v>
      </c>
      <c r="G5" s="1" t="s">
        <v>171</v>
      </c>
      <c r="H5" s="1" t="s">
        <v>212</v>
      </c>
    </row>
    <row r="6" spans="1:11" s="81" customFormat="1" ht="14.45" customHeight="1">
      <c r="A6" s="79" t="s">
        <v>37</v>
      </c>
      <c r="B6" s="79" t="s">
        <v>38</v>
      </c>
      <c r="C6" s="80">
        <v>1</v>
      </c>
      <c r="D6" s="80">
        <v>2</v>
      </c>
      <c r="E6" s="80">
        <v>3</v>
      </c>
      <c r="F6" s="80">
        <v>4</v>
      </c>
      <c r="G6" s="80">
        <v>5</v>
      </c>
      <c r="H6" s="80">
        <v>6</v>
      </c>
    </row>
    <row r="7" spans="1:11" s="86" customFormat="1" ht="16.5">
      <c r="A7" s="82" t="s">
        <v>37</v>
      </c>
      <c r="B7" s="83" t="s">
        <v>64</v>
      </c>
      <c r="C7" s="84">
        <f>SUM(C8:C10)</f>
        <v>11512336.727319999</v>
      </c>
      <c r="D7" s="84">
        <f>SUM(D8:D10)</f>
        <v>10029008</v>
      </c>
      <c r="E7" s="84">
        <f>SUM(E8:E10)</f>
        <v>12941795</v>
      </c>
      <c r="F7" s="84">
        <f>SUM(F8:F10)</f>
        <v>10293188</v>
      </c>
      <c r="G7" s="84">
        <f>SUM(G8:G10)</f>
        <v>10832080</v>
      </c>
      <c r="H7" s="84">
        <f t="shared" ref="H7" si="0">SUM(H8:H10)</f>
        <v>11876300</v>
      </c>
      <c r="I7" s="85"/>
    </row>
    <row r="8" spans="1:11" s="89" customFormat="1" ht="16.5">
      <c r="A8" s="87"/>
      <c r="B8" s="88" t="s">
        <v>65</v>
      </c>
      <c r="C8" s="7">
        <v>7493935.401513</v>
      </c>
      <c r="D8" s="7">
        <v>8645277</v>
      </c>
      <c r="E8" s="7">
        <v>8131531</v>
      </c>
      <c r="F8" s="7">
        <v>8909457</v>
      </c>
      <c r="G8" s="7">
        <v>9532080</v>
      </c>
      <c r="H8" s="7">
        <v>10576300</v>
      </c>
      <c r="I8" s="85"/>
    </row>
    <row r="9" spans="1:11" s="91" customFormat="1" ht="18.75">
      <c r="A9" s="87"/>
      <c r="B9" s="88" t="s">
        <v>66</v>
      </c>
      <c r="C9" s="7">
        <v>1356731</v>
      </c>
      <c r="D9" s="7">
        <v>1383731</v>
      </c>
      <c r="E9" s="7">
        <v>1383731</v>
      </c>
      <c r="F9" s="7">
        <v>1383731</v>
      </c>
      <c r="G9" s="7">
        <v>1300000</v>
      </c>
      <c r="H9" s="7">
        <v>1300000</v>
      </c>
      <c r="I9" s="90"/>
    </row>
    <row r="10" spans="1:11" s="91" customFormat="1" ht="18.75">
      <c r="A10" s="87"/>
      <c r="B10" s="88" t="s">
        <v>173</v>
      </c>
      <c r="C10" s="7">
        <v>2661670.325807</v>
      </c>
      <c r="D10" s="7"/>
      <c r="E10" s="7">
        <f>2774425+652108</f>
        <v>3426533</v>
      </c>
      <c r="F10" s="7"/>
      <c r="G10" s="7"/>
      <c r="H10" s="7"/>
      <c r="I10" s="90">
        <f>F7-F11</f>
        <v>-24400</v>
      </c>
      <c r="J10" s="125">
        <f>G7-G11</f>
        <v>-307590</v>
      </c>
      <c r="K10" s="125">
        <f>H7-H11</f>
        <v>-638200</v>
      </c>
    </row>
    <row r="11" spans="1:11" s="91" customFormat="1" ht="18.75">
      <c r="A11" s="92" t="s">
        <v>38</v>
      </c>
      <c r="B11" s="3" t="s">
        <v>67</v>
      </c>
      <c r="C11" s="4">
        <v>7790637.9858689997</v>
      </c>
      <c r="D11" s="4">
        <v>10175308</v>
      </c>
      <c r="E11" s="4">
        <v>11844500.513005406</v>
      </c>
      <c r="F11" s="5">
        <v>10317588</v>
      </c>
      <c r="G11" s="5">
        <v>11139670</v>
      </c>
      <c r="H11" s="5">
        <v>12514500</v>
      </c>
      <c r="I11" s="90"/>
    </row>
    <row r="12" spans="1:11" s="93" customFormat="1" ht="18.75">
      <c r="A12" s="92" t="s">
        <v>56</v>
      </c>
      <c r="B12" s="3" t="s">
        <v>57</v>
      </c>
      <c r="C12" s="4"/>
      <c r="D12" s="4"/>
      <c r="E12" s="4"/>
      <c r="F12" s="4"/>
      <c r="G12" s="4"/>
      <c r="H12" s="4"/>
      <c r="I12" s="85"/>
    </row>
    <row r="13" spans="1:11" s="93" customFormat="1" ht="18.75">
      <c r="A13" s="87"/>
      <c r="B13" s="88" t="s">
        <v>58</v>
      </c>
      <c r="C13" s="7"/>
      <c r="D13" s="7"/>
      <c r="E13" s="7"/>
      <c r="F13" s="7"/>
      <c r="G13" s="7"/>
      <c r="H13" s="7"/>
      <c r="I13" s="85"/>
    </row>
    <row r="14" spans="1:11" s="93" customFormat="1" ht="18.75">
      <c r="A14" s="87"/>
      <c r="B14" s="88" t="s">
        <v>59</v>
      </c>
      <c r="C14" s="7"/>
      <c r="D14" s="7">
        <f>IF((D11-D7)&gt;0,(D11-D7),0)</f>
        <v>146300</v>
      </c>
      <c r="E14" s="7">
        <f>IF((E11-E7)&gt;0,(E11-E7),0)</f>
        <v>0</v>
      </c>
      <c r="F14" s="7">
        <f>F59</f>
        <v>24400</v>
      </c>
      <c r="G14" s="7">
        <f>G59</f>
        <v>307590</v>
      </c>
      <c r="H14" s="7">
        <f>H59</f>
        <v>638200</v>
      </c>
      <c r="I14" s="85"/>
    </row>
    <row r="15" spans="1:11" s="93" customFormat="1" ht="18.75">
      <c r="A15" s="92" t="s">
        <v>60</v>
      </c>
      <c r="B15" s="3" t="s">
        <v>167</v>
      </c>
      <c r="C15" s="4">
        <f>C8*30%</f>
        <v>2248180.6204538997</v>
      </c>
      <c r="D15" s="4">
        <f>D8*30%</f>
        <v>2593583.1</v>
      </c>
      <c r="E15" s="4">
        <f>E8*30%</f>
        <v>2439459.2999999998</v>
      </c>
      <c r="F15" s="4">
        <f>F8*30%</f>
        <v>2672837.1</v>
      </c>
      <c r="G15" s="4">
        <f t="shared" ref="G15:H15" si="1">G8*30%</f>
        <v>2859624</v>
      </c>
      <c r="H15" s="4">
        <f t="shared" si="1"/>
        <v>3172890</v>
      </c>
      <c r="I15" s="85"/>
    </row>
    <row r="16" spans="1:11" s="93" customFormat="1" ht="31.5">
      <c r="A16" s="92" t="s">
        <v>61</v>
      </c>
      <c r="B16" s="3" t="s">
        <v>68</v>
      </c>
      <c r="C16" s="4">
        <f t="shared" ref="C16:H16" si="2">C15-C73</f>
        <v>2222957.8431028998</v>
      </c>
      <c r="D16" s="4">
        <f t="shared" si="2"/>
        <v>2422075.2849059999</v>
      </c>
      <c r="E16" s="4">
        <f t="shared" si="2"/>
        <v>2352319.7075549997</v>
      </c>
      <c r="F16" s="4">
        <f>F15-F73</f>
        <v>2574457.191472</v>
      </c>
      <c r="G16" s="4">
        <f t="shared" si="2"/>
        <v>2458843.8306559999</v>
      </c>
      <c r="H16" s="4">
        <f t="shared" si="2"/>
        <v>2139099.56984</v>
      </c>
    </row>
    <row r="17" spans="1:9" s="94" customFormat="1" ht="18.75">
      <c r="A17" s="92" t="s">
        <v>69</v>
      </c>
      <c r="B17" s="3" t="s">
        <v>70</v>
      </c>
      <c r="C17" s="4"/>
      <c r="D17" s="4"/>
      <c r="E17" s="4"/>
      <c r="F17" s="4"/>
      <c r="G17" s="4"/>
      <c r="H17" s="4"/>
    </row>
    <row r="18" spans="1:9" s="95" customFormat="1" ht="18.75">
      <c r="A18" s="92" t="s">
        <v>9</v>
      </c>
      <c r="B18" s="3" t="s">
        <v>71</v>
      </c>
      <c r="C18" s="4">
        <f>C20+C21+C32</f>
        <v>42037.962256999992</v>
      </c>
      <c r="D18" s="4">
        <f>D20+D21+D32</f>
        <v>25223</v>
      </c>
      <c r="E18" s="4">
        <f>E20+E21+E32</f>
        <v>25222.77735099999</v>
      </c>
      <c r="F18" s="4">
        <f>F20+F21+F32</f>
        <v>87139.592444999987</v>
      </c>
      <c r="G18" s="4">
        <f t="shared" ref="G18:H18" si="3">G20+G21+G32</f>
        <v>98379.908528</v>
      </c>
      <c r="H18" s="4">
        <f t="shared" si="3"/>
        <v>400780.16934399999</v>
      </c>
      <c r="I18" s="126">
        <f>F18+G18+H18</f>
        <v>586299.67031700001</v>
      </c>
    </row>
    <row r="19" spans="1:9" s="95" customFormat="1" ht="31.5">
      <c r="A19" s="87"/>
      <c r="B19" s="96" t="s">
        <v>72</v>
      </c>
      <c r="C19" s="97">
        <f>C18/C15</f>
        <v>1.8698658761907072E-2</v>
      </c>
      <c r="D19" s="97">
        <f>D18/D15</f>
        <v>9.7251559049717738E-3</v>
      </c>
      <c r="E19" s="97">
        <f>E18/E15</f>
        <v>1.0339495047529587E-2</v>
      </c>
      <c r="F19" s="97">
        <f>F18/F15</f>
        <v>3.2601909201649432E-2</v>
      </c>
      <c r="G19" s="97">
        <f t="shared" ref="G19:H19" si="4">G18/G15</f>
        <v>3.4403092339412453E-2</v>
      </c>
      <c r="H19" s="97">
        <f t="shared" si="4"/>
        <v>0.12631391864955924</v>
      </c>
    </row>
    <row r="20" spans="1:9" s="101" customFormat="1" ht="18.75">
      <c r="A20" s="98">
        <v>1</v>
      </c>
      <c r="B20" s="99" t="s">
        <v>73</v>
      </c>
      <c r="C20" s="100"/>
      <c r="D20" s="100"/>
      <c r="E20" s="100"/>
      <c r="F20" s="100"/>
      <c r="G20" s="100"/>
      <c r="H20" s="100"/>
    </row>
    <row r="21" spans="1:9" s="102" customFormat="1" ht="18.75">
      <c r="A21" s="98">
        <v>2</v>
      </c>
      <c r="B21" s="99" t="s">
        <v>74</v>
      </c>
      <c r="C21" s="100">
        <f>C22+SUM(C25:C31)</f>
        <v>42037.962256999992</v>
      </c>
      <c r="D21" s="100">
        <f t="shared" ref="D21:H21" si="5">D22+SUM(D25:D31)</f>
        <v>25223</v>
      </c>
      <c r="E21" s="100">
        <f t="shared" si="5"/>
        <v>25222.77735099999</v>
      </c>
      <c r="F21" s="100">
        <f t="shared" si="5"/>
        <v>87139.592444999987</v>
      </c>
      <c r="G21" s="100">
        <f t="shared" si="5"/>
        <v>98379.908528</v>
      </c>
      <c r="H21" s="100">
        <f t="shared" si="5"/>
        <v>400780.16934399999</v>
      </c>
    </row>
    <row r="22" spans="1:9" s="93" customFormat="1" ht="18.75">
      <c r="A22" s="87" t="s">
        <v>51</v>
      </c>
      <c r="B22" s="103" t="s">
        <v>75</v>
      </c>
      <c r="C22" s="7">
        <f t="shared" ref="C22:H22" si="6">SUM(C23:C24)</f>
        <v>42037.962256999992</v>
      </c>
      <c r="D22" s="7">
        <f t="shared" si="6"/>
        <v>25223</v>
      </c>
      <c r="E22" s="7">
        <f t="shared" si="6"/>
        <v>25222.77735099999</v>
      </c>
      <c r="F22" s="7">
        <f t="shared" si="6"/>
        <v>8412.5924449999911</v>
      </c>
      <c r="G22" s="7">
        <f t="shared" si="6"/>
        <v>0</v>
      </c>
      <c r="H22" s="7">
        <f t="shared" si="6"/>
        <v>0</v>
      </c>
    </row>
    <row r="23" spans="1:9" s="93" customFormat="1" ht="18.75">
      <c r="A23" s="104"/>
      <c r="B23" s="105" t="s">
        <v>76</v>
      </c>
      <c r="C23" s="106">
        <v>26814.552272999994</v>
      </c>
      <c r="D23" s="25">
        <v>16089</v>
      </c>
      <c r="E23" s="25">
        <f>C78</f>
        <v>16088.731362999994</v>
      </c>
      <c r="F23" s="25">
        <f>E78</f>
        <v>5362.9104529999931</v>
      </c>
      <c r="G23" s="25">
        <f t="shared" ref="G23:H25" si="7">F78</f>
        <v>0</v>
      </c>
      <c r="H23" s="25">
        <f t="shared" si="7"/>
        <v>0</v>
      </c>
    </row>
    <row r="24" spans="1:9" s="93" customFormat="1" ht="18.75">
      <c r="A24" s="104"/>
      <c r="B24" s="105" t="s">
        <v>77</v>
      </c>
      <c r="C24" s="106">
        <v>15223.409983999998</v>
      </c>
      <c r="D24" s="25">
        <v>9134</v>
      </c>
      <c r="E24" s="25">
        <f>C79</f>
        <v>9134.045987999998</v>
      </c>
      <c r="F24" s="25">
        <f>E79</f>
        <v>3049.681991999998</v>
      </c>
      <c r="G24" s="25">
        <f t="shared" si="7"/>
        <v>0</v>
      </c>
      <c r="H24" s="25">
        <f t="shared" si="7"/>
        <v>0</v>
      </c>
    </row>
    <row r="25" spans="1:9" s="93" customFormat="1" ht="34.5" customHeight="1">
      <c r="A25" s="87" t="s">
        <v>55</v>
      </c>
      <c r="B25" s="88" t="s">
        <v>78</v>
      </c>
      <c r="C25" s="25"/>
      <c r="D25" s="25"/>
      <c r="E25" s="25"/>
      <c r="F25" s="7">
        <f>E80</f>
        <v>0</v>
      </c>
      <c r="G25" s="7">
        <f t="shared" si="7"/>
        <v>0</v>
      </c>
      <c r="H25" s="7">
        <f t="shared" si="7"/>
        <v>37000</v>
      </c>
    </row>
    <row r="26" spans="1:9" s="93" customFormat="1" ht="33.75" customHeight="1">
      <c r="A26" s="87" t="s">
        <v>79</v>
      </c>
      <c r="B26" s="88" t="s">
        <v>80</v>
      </c>
      <c r="C26" s="25"/>
      <c r="D26" s="25"/>
      <c r="E26" s="25"/>
      <c r="F26" s="7">
        <f t="shared" ref="F26:H31" si="8">E81</f>
        <v>9727</v>
      </c>
      <c r="G26" s="7">
        <f t="shared" si="8"/>
        <v>20687.152287999997</v>
      </c>
      <c r="H26" s="7">
        <f t="shared" si="8"/>
        <v>25394.656863999997</v>
      </c>
    </row>
    <row r="27" spans="1:9" s="93" customFormat="1" ht="66" customHeight="1">
      <c r="A27" s="87" t="s">
        <v>92</v>
      </c>
      <c r="B27" s="103" t="s">
        <v>102</v>
      </c>
      <c r="C27" s="25"/>
      <c r="D27" s="25"/>
      <c r="E27" s="25"/>
      <c r="F27" s="7">
        <f t="shared" si="8"/>
        <v>69000</v>
      </c>
      <c r="G27" s="7">
        <f t="shared" si="8"/>
        <v>77692.756240000002</v>
      </c>
      <c r="H27" s="7">
        <f t="shared" si="8"/>
        <v>73385.512480000005</v>
      </c>
    </row>
    <row r="28" spans="1:9" s="93" customFormat="1" ht="31.5">
      <c r="A28" s="87" t="s">
        <v>94</v>
      </c>
      <c r="B28" s="103" t="s">
        <v>213</v>
      </c>
      <c r="C28" s="25"/>
      <c r="D28" s="7"/>
      <c r="E28" s="7"/>
      <c r="F28" s="7">
        <f t="shared" si="8"/>
        <v>0</v>
      </c>
      <c r="G28" s="7">
        <f t="shared" si="8"/>
        <v>0</v>
      </c>
      <c r="H28" s="7">
        <f t="shared" si="8"/>
        <v>100000</v>
      </c>
    </row>
    <row r="29" spans="1:9" s="93" customFormat="1" ht="18.75">
      <c r="A29" s="87" t="s">
        <v>95</v>
      </c>
      <c r="B29" s="103" t="s">
        <v>214</v>
      </c>
      <c r="C29" s="25"/>
      <c r="D29" s="7"/>
      <c r="E29" s="7"/>
      <c r="F29" s="7">
        <f t="shared" si="8"/>
        <v>0</v>
      </c>
      <c r="G29" s="7">
        <f t="shared" si="8"/>
        <v>0</v>
      </c>
      <c r="H29" s="7">
        <f t="shared" si="8"/>
        <v>30000</v>
      </c>
    </row>
    <row r="30" spans="1:9" s="93" customFormat="1" ht="18.75">
      <c r="A30" s="87" t="s">
        <v>215</v>
      </c>
      <c r="B30" s="103" t="s">
        <v>216</v>
      </c>
      <c r="C30" s="25"/>
      <c r="D30" s="7"/>
      <c r="E30" s="7"/>
      <c r="F30" s="7">
        <f t="shared" si="8"/>
        <v>0</v>
      </c>
      <c r="G30" s="7">
        <f t="shared" si="8"/>
        <v>0</v>
      </c>
      <c r="H30" s="7">
        <f t="shared" si="8"/>
        <v>35000</v>
      </c>
    </row>
    <row r="31" spans="1:9" s="93" customFormat="1" ht="18.75">
      <c r="A31" s="87" t="s">
        <v>217</v>
      </c>
      <c r="B31" s="103" t="s">
        <v>218</v>
      </c>
      <c r="C31" s="25"/>
      <c r="D31" s="7"/>
      <c r="E31" s="7"/>
      <c r="F31" s="7">
        <f t="shared" si="8"/>
        <v>0</v>
      </c>
      <c r="G31" s="7">
        <f t="shared" si="8"/>
        <v>0</v>
      </c>
      <c r="H31" s="7">
        <f t="shared" si="8"/>
        <v>100000</v>
      </c>
    </row>
    <row r="32" spans="1:9" s="101" customFormat="1" ht="18.75">
      <c r="A32" s="98">
        <v>3</v>
      </c>
      <c r="B32" s="99" t="s">
        <v>81</v>
      </c>
      <c r="C32" s="100">
        <f t="shared" ref="C32:H32" si="9">C33</f>
        <v>0</v>
      </c>
      <c r="D32" s="100">
        <f t="shared" si="9"/>
        <v>0</v>
      </c>
      <c r="E32" s="100">
        <f t="shared" si="9"/>
        <v>0</v>
      </c>
      <c r="F32" s="100">
        <f t="shared" si="9"/>
        <v>0</v>
      </c>
      <c r="G32" s="100">
        <f t="shared" si="9"/>
        <v>0</v>
      </c>
      <c r="H32" s="100">
        <f t="shared" si="9"/>
        <v>0</v>
      </c>
    </row>
    <row r="33" spans="1:9" s="91" customFormat="1" ht="31.5">
      <c r="A33" s="87"/>
      <c r="B33" s="103" t="s">
        <v>82</v>
      </c>
      <c r="C33" s="7"/>
      <c r="D33" s="7"/>
      <c r="E33" s="7"/>
      <c r="F33" s="7"/>
      <c r="G33" s="7"/>
      <c r="H33" s="7"/>
    </row>
    <row r="34" spans="1:9" s="95" customFormat="1" ht="18.75">
      <c r="A34" s="92" t="s">
        <v>21</v>
      </c>
      <c r="B34" s="3" t="s">
        <v>83</v>
      </c>
      <c r="C34" s="4">
        <f t="shared" ref="C34:H34" si="10">C35</f>
        <v>16815.184906000002</v>
      </c>
      <c r="D34" s="4">
        <f t="shared" si="10"/>
        <v>16815.184906000002</v>
      </c>
      <c r="E34" s="4">
        <f t="shared" si="10"/>
        <v>16810.184906000002</v>
      </c>
      <c r="F34" s="4">
        <f t="shared" si="10"/>
        <v>13159.683916999991</v>
      </c>
      <c r="G34" s="4">
        <f t="shared" si="10"/>
        <v>5189.739184</v>
      </c>
      <c r="H34" s="4">
        <f t="shared" si="10"/>
        <v>5189.739184</v>
      </c>
      <c r="I34" s="126">
        <f>F34+G34+H34</f>
        <v>23539.162284999991</v>
      </c>
    </row>
    <row r="35" spans="1:9" s="95" customFormat="1" ht="18.75">
      <c r="A35" s="92">
        <v>1</v>
      </c>
      <c r="B35" s="3" t="s">
        <v>84</v>
      </c>
      <c r="C35" s="4">
        <f>C36+C37+C48</f>
        <v>16815.184906000002</v>
      </c>
      <c r="D35" s="4">
        <f>D36+D37+D48</f>
        <v>16815.184906000002</v>
      </c>
      <c r="E35" s="4">
        <f>E36+E37+E48</f>
        <v>16810.184906000002</v>
      </c>
      <c r="F35" s="4">
        <f>F36+F37+F48</f>
        <v>13159.683916999991</v>
      </c>
      <c r="G35" s="4">
        <f t="shared" ref="G35:H35" si="11">G36+G37+G48</f>
        <v>5189.739184</v>
      </c>
      <c r="H35" s="4">
        <f t="shared" si="11"/>
        <v>5189.739184</v>
      </c>
    </row>
    <row r="36" spans="1:9" s="101" customFormat="1" ht="18.75">
      <c r="A36" s="98" t="s">
        <v>12</v>
      </c>
      <c r="B36" s="99" t="s">
        <v>73</v>
      </c>
      <c r="C36" s="100"/>
      <c r="D36" s="100"/>
      <c r="E36" s="100"/>
      <c r="F36" s="100"/>
      <c r="G36" s="100"/>
      <c r="H36" s="100"/>
    </row>
    <row r="37" spans="1:9" s="102" customFormat="1" ht="18.75">
      <c r="A37" s="98" t="s">
        <v>13</v>
      </c>
      <c r="B37" s="99" t="s">
        <v>74</v>
      </c>
      <c r="C37" s="100">
        <f>C38+SUM(C41:C47)</f>
        <v>16815.184906000002</v>
      </c>
      <c r="D37" s="100">
        <f t="shared" ref="D37:H37" si="12">D38+SUM(D41:D47)</f>
        <v>16815.184906000002</v>
      </c>
      <c r="E37" s="100">
        <f t="shared" si="12"/>
        <v>16810.184906000002</v>
      </c>
      <c r="F37" s="100">
        <f t="shared" si="12"/>
        <v>13159.683916999991</v>
      </c>
      <c r="G37" s="100">
        <f t="shared" si="12"/>
        <v>5189.739184</v>
      </c>
      <c r="H37" s="100">
        <f t="shared" si="12"/>
        <v>5189.739184</v>
      </c>
    </row>
    <row r="38" spans="1:9" s="93" customFormat="1" ht="18.75">
      <c r="A38" s="87" t="s">
        <v>46</v>
      </c>
      <c r="B38" s="103" t="s">
        <v>75</v>
      </c>
      <c r="C38" s="7">
        <f t="shared" ref="C38:F38" si="13">SUM(C39:C40)</f>
        <v>16815.184906000002</v>
      </c>
      <c r="D38" s="7">
        <f t="shared" si="13"/>
        <v>16815.184906000002</v>
      </c>
      <c r="E38" s="7">
        <f t="shared" si="13"/>
        <v>16810.184906000002</v>
      </c>
      <c r="F38" s="7">
        <f t="shared" si="13"/>
        <v>8412.5924449999911</v>
      </c>
      <c r="G38" s="7">
        <f t="shared" ref="G38:H38" si="14">SUM(G39:G40)</f>
        <v>0</v>
      </c>
      <c r="H38" s="7">
        <f t="shared" si="14"/>
        <v>0</v>
      </c>
    </row>
    <row r="39" spans="1:9" s="93" customFormat="1" ht="18.75">
      <c r="A39" s="87"/>
      <c r="B39" s="105" t="s">
        <v>76</v>
      </c>
      <c r="C39" s="25">
        <v>10725.82091</v>
      </c>
      <c r="D39" s="25">
        <v>10725.82091</v>
      </c>
      <c r="E39" s="25">
        <v>10725.82091</v>
      </c>
      <c r="F39" s="25">
        <v>5362.9104529999931</v>
      </c>
      <c r="G39" s="25"/>
      <c r="H39" s="25"/>
    </row>
    <row r="40" spans="1:9" s="93" customFormat="1" ht="18.75">
      <c r="A40" s="87"/>
      <c r="B40" s="105" t="s">
        <v>77</v>
      </c>
      <c r="C40" s="25">
        <v>6089.363996</v>
      </c>
      <c r="D40" s="25">
        <v>6089.363996</v>
      </c>
      <c r="E40" s="25">
        <f>6089.363996-5</f>
        <v>6084.363996</v>
      </c>
      <c r="F40" s="25">
        <v>3049.681991999998</v>
      </c>
      <c r="G40" s="25"/>
      <c r="H40" s="25"/>
    </row>
    <row r="41" spans="1:9" s="93" customFormat="1" ht="35.25" customHeight="1">
      <c r="A41" s="87" t="s">
        <v>47</v>
      </c>
      <c r="B41" s="88" t="s">
        <v>78</v>
      </c>
      <c r="C41" s="25"/>
      <c r="D41" s="25"/>
      <c r="E41" s="25"/>
      <c r="F41" s="25"/>
      <c r="G41" s="25"/>
      <c r="H41" s="25"/>
    </row>
    <row r="42" spans="1:9" s="93" customFormat="1" ht="36" customHeight="1">
      <c r="A42" s="87" t="s">
        <v>168</v>
      </c>
      <c r="B42" s="88" t="s">
        <v>80</v>
      </c>
      <c r="C42" s="25"/>
      <c r="D42" s="25"/>
      <c r="E42" s="25"/>
      <c r="F42" s="107">
        <f>(18952*23256)/1000000-0.9</f>
        <v>439.847712</v>
      </c>
      <c r="G42" s="107">
        <f>(18952*23256)*2/1000000+1</f>
        <v>882.49542399999996</v>
      </c>
      <c r="H42" s="107">
        <f>(18952*23256)*2/1000000-2</f>
        <v>879.49542399999996</v>
      </c>
    </row>
    <row r="43" spans="1:9" s="93" customFormat="1" ht="68.25" customHeight="1">
      <c r="A43" s="87" t="s">
        <v>172</v>
      </c>
      <c r="B43" s="103" t="s">
        <v>102</v>
      </c>
      <c r="C43" s="25"/>
      <c r="D43" s="25"/>
      <c r="E43" s="25"/>
      <c r="F43" s="108">
        <f>(92605*23256)*2/1000000</f>
        <v>4307.2437600000003</v>
      </c>
      <c r="G43" s="108">
        <f>(92605*23256)*2/1000000</f>
        <v>4307.2437600000003</v>
      </c>
      <c r="H43" s="108">
        <f>(92605*23256)*2/1000000+3</f>
        <v>4310.2437600000003</v>
      </c>
    </row>
    <row r="44" spans="1:9" s="93" customFormat="1" ht="34.5" customHeight="1">
      <c r="A44" s="87" t="s">
        <v>219</v>
      </c>
      <c r="B44" s="103" t="s">
        <v>213</v>
      </c>
      <c r="C44" s="25"/>
      <c r="D44" s="7"/>
      <c r="E44" s="7"/>
      <c r="F44" s="7"/>
      <c r="G44" s="7"/>
      <c r="H44" s="7"/>
    </row>
    <row r="45" spans="1:9" s="93" customFormat="1" ht="18.75">
      <c r="A45" s="87" t="s">
        <v>220</v>
      </c>
      <c r="B45" s="103" t="s">
        <v>214</v>
      </c>
      <c r="C45" s="25"/>
      <c r="D45" s="7"/>
      <c r="E45" s="7"/>
      <c r="F45" s="7"/>
      <c r="G45" s="7"/>
      <c r="H45" s="7"/>
    </row>
    <row r="46" spans="1:9" s="93" customFormat="1" ht="18.75">
      <c r="A46" s="87" t="s">
        <v>221</v>
      </c>
      <c r="B46" s="103" t="s">
        <v>216</v>
      </c>
      <c r="C46" s="25"/>
      <c r="D46" s="7"/>
      <c r="E46" s="7"/>
      <c r="F46" s="7"/>
      <c r="G46" s="7"/>
      <c r="H46" s="7"/>
    </row>
    <row r="47" spans="1:9" s="93" customFormat="1" ht="18.75">
      <c r="A47" s="87" t="s">
        <v>222</v>
      </c>
      <c r="B47" s="103" t="s">
        <v>218</v>
      </c>
      <c r="C47" s="25"/>
      <c r="D47" s="7"/>
      <c r="E47" s="7"/>
      <c r="F47" s="7"/>
      <c r="G47" s="7"/>
      <c r="H47" s="7"/>
    </row>
    <row r="48" spans="1:9" s="101" customFormat="1" ht="18.75">
      <c r="A48" s="98" t="s">
        <v>86</v>
      </c>
      <c r="B48" s="99" t="s">
        <v>87</v>
      </c>
      <c r="C48" s="100">
        <f t="shared" ref="C48:H48" si="15">C49</f>
        <v>0</v>
      </c>
      <c r="D48" s="100">
        <f t="shared" si="15"/>
        <v>0</v>
      </c>
      <c r="E48" s="100">
        <f t="shared" si="15"/>
        <v>0</v>
      </c>
      <c r="F48" s="100">
        <f t="shared" si="15"/>
        <v>0</v>
      </c>
      <c r="G48" s="100">
        <f t="shared" si="15"/>
        <v>0</v>
      </c>
      <c r="H48" s="100">
        <f t="shared" si="15"/>
        <v>0</v>
      </c>
    </row>
    <row r="49" spans="1:10" s="93" customFormat="1" ht="31.5">
      <c r="A49" s="87"/>
      <c r="B49" s="109" t="s">
        <v>82</v>
      </c>
      <c r="C49" s="25"/>
      <c r="D49" s="25"/>
      <c r="E49" s="25"/>
      <c r="F49" s="25"/>
      <c r="G49" s="25"/>
      <c r="H49" s="25"/>
    </row>
    <row r="50" spans="1:10" s="93" customFormat="1" ht="18.75">
      <c r="A50" s="92">
        <v>2</v>
      </c>
      <c r="B50" s="3" t="s">
        <v>88</v>
      </c>
      <c r="C50" s="4">
        <f t="shared" ref="C50:H50" si="16">C51+C52+C53+C54+C55+C56</f>
        <v>16815.184906000002</v>
      </c>
      <c r="D50" s="4">
        <f t="shared" si="16"/>
        <v>16815.363996</v>
      </c>
      <c r="E50" s="4">
        <f t="shared" si="16"/>
        <v>16810.184906000002</v>
      </c>
      <c r="F50" s="4">
        <f t="shared" si="16"/>
        <v>13159.683917</v>
      </c>
      <c r="G50" s="4">
        <f t="shared" si="16"/>
        <v>5189.739184</v>
      </c>
      <c r="H50" s="4">
        <f t="shared" si="16"/>
        <v>5189.739184</v>
      </c>
    </row>
    <row r="51" spans="1:10" s="93" customFormat="1" ht="18.75">
      <c r="A51" s="87" t="s">
        <v>51</v>
      </c>
      <c r="B51" s="88" t="s">
        <v>89</v>
      </c>
      <c r="C51" s="7"/>
      <c r="D51" s="7"/>
      <c r="E51" s="7"/>
      <c r="F51" s="7"/>
      <c r="G51" s="7"/>
      <c r="H51" s="7"/>
    </row>
    <row r="52" spans="1:10" s="93" customFormat="1" ht="18.75">
      <c r="A52" s="87" t="s">
        <v>55</v>
      </c>
      <c r="B52" s="88" t="s">
        <v>90</v>
      </c>
      <c r="C52" s="7"/>
      <c r="D52" s="7"/>
      <c r="E52" s="7"/>
      <c r="F52" s="7"/>
      <c r="G52" s="7"/>
      <c r="H52" s="7"/>
    </row>
    <row r="53" spans="1:10" s="195" customFormat="1" ht="18.75">
      <c r="A53" s="128" t="s">
        <v>79</v>
      </c>
      <c r="B53" s="127" t="s">
        <v>91</v>
      </c>
      <c r="C53" s="194">
        <v>4448.0586000000003</v>
      </c>
      <c r="D53" s="194">
        <v>13815.363996</v>
      </c>
      <c r="E53" s="194">
        <v>13800</v>
      </c>
      <c r="F53" s="194">
        <f>13159.683917-2000-1350</f>
        <v>9809.6839170000003</v>
      </c>
      <c r="G53" s="194">
        <v>5189.739184</v>
      </c>
      <c r="H53" s="194">
        <v>5189.739184</v>
      </c>
    </row>
    <row r="54" spans="1:10" s="196" customFormat="1" ht="18.75">
      <c r="A54" s="128" t="s">
        <v>92</v>
      </c>
      <c r="B54" s="127" t="s">
        <v>93</v>
      </c>
      <c r="C54" s="194">
        <v>10000</v>
      </c>
      <c r="D54" s="194">
        <v>1000</v>
      </c>
      <c r="E54" s="194">
        <f>14758.701181-13800</f>
        <v>958.70118100000036</v>
      </c>
      <c r="F54" s="194">
        <v>1350</v>
      </c>
      <c r="G54" s="194"/>
      <c r="H54" s="194"/>
    </row>
    <row r="55" spans="1:10" s="93" customFormat="1" ht="18.75">
      <c r="A55" s="87" t="s">
        <v>94</v>
      </c>
      <c r="B55" s="88" t="s">
        <v>223</v>
      </c>
      <c r="C55" s="7"/>
      <c r="D55" s="7"/>
      <c r="E55" s="7"/>
      <c r="F55" s="7"/>
      <c r="G55" s="7"/>
      <c r="H55" s="7"/>
    </row>
    <row r="56" spans="1:10" s="110" customFormat="1" ht="18.75">
      <c r="A56" s="87" t="s">
        <v>95</v>
      </c>
      <c r="B56" s="88" t="s">
        <v>96</v>
      </c>
      <c r="C56" s="7">
        <v>2367.1263060000001</v>
      </c>
      <c r="D56" s="7">
        <v>2000</v>
      </c>
      <c r="E56" s="7">
        <f>2056.483725-5</f>
        <v>2051.483725</v>
      </c>
      <c r="F56" s="7">
        <v>2000</v>
      </c>
      <c r="G56" s="7"/>
      <c r="H56" s="7"/>
    </row>
    <row r="57" spans="1:10" s="93" customFormat="1" ht="18.75">
      <c r="A57" s="92" t="s">
        <v>22</v>
      </c>
      <c r="B57" s="3" t="s">
        <v>97</v>
      </c>
      <c r="C57" s="4">
        <f t="shared" ref="C57:H57" si="17">C58</f>
        <v>0</v>
      </c>
      <c r="D57" s="4">
        <f t="shared" si="17"/>
        <v>163100</v>
      </c>
      <c r="E57" s="4">
        <f t="shared" si="17"/>
        <v>78727</v>
      </c>
      <c r="F57" s="4">
        <f t="shared" si="17"/>
        <v>24400</v>
      </c>
      <c r="G57" s="4">
        <f t="shared" si="17"/>
        <v>307590</v>
      </c>
      <c r="H57" s="4">
        <f t="shared" si="17"/>
        <v>638200</v>
      </c>
      <c r="I57" s="130">
        <f>F57+G57+H57</f>
        <v>970190</v>
      </c>
    </row>
    <row r="58" spans="1:10" s="93" customFormat="1" ht="18.75">
      <c r="A58" s="92">
        <v>1</v>
      </c>
      <c r="B58" s="3" t="s">
        <v>98</v>
      </c>
      <c r="C58" s="4">
        <f t="shared" ref="C58:H58" si="18">C59+C60</f>
        <v>0</v>
      </c>
      <c r="D58" s="4">
        <f t="shared" si="18"/>
        <v>163100</v>
      </c>
      <c r="E58" s="4">
        <f t="shared" si="18"/>
        <v>78727</v>
      </c>
      <c r="F58" s="4">
        <f t="shared" si="18"/>
        <v>24400</v>
      </c>
      <c r="G58" s="4">
        <f t="shared" si="18"/>
        <v>307590</v>
      </c>
      <c r="H58" s="4">
        <f t="shared" si="18"/>
        <v>638200</v>
      </c>
    </row>
    <row r="59" spans="1:10" s="95" customFormat="1" ht="18.75">
      <c r="A59" s="87" t="s">
        <v>12</v>
      </c>
      <c r="B59" s="88" t="s">
        <v>99</v>
      </c>
      <c r="C59" s="7"/>
      <c r="D59" s="7">
        <f>D61-D60</f>
        <v>163100</v>
      </c>
      <c r="E59" s="7">
        <f>E61-E60</f>
        <v>78727</v>
      </c>
      <c r="F59" s="7">
        <f>F61-F60</f>
        <v>24400</v>
      </c>
      <c r="G59" s="7">
        <f>G61-G60</f>
        <v>307590</v>
      </c>
      <c r="H59" s="7">
        <f t="shared" ref="H59" si="19">H61-H60</f>
        <v>638200</v>
      </c>
    </row>
    <row r="60" spans="1:10" s="95" customFormat="1" ht="18.75">
      <c r="A60" s="87" t="s">
        <v>13</v>
      </c>
      <c r="B60" s="88" t="s">
        <v>100</v>
      </c>
      <c r="C60" s="7"/>
      <c r="D60" s="7"/>
      <c r="E60" s="7">
        <f>E49</f>
        <v>0</v>
      </c>
      <c r="F60" s="7">
        <f>F49</f>
        <v>0</v>
      </c>
      <c r="G60" s="7">
        <f t="shared" ref="G60:H60" si="20">G49</f>
        <v>0</v>
      </c>
      <c r="H60" s="7">
        <f t="shared" si="20"/>
        <v>0</v>
      </c>
    </row>
    <row r="61" spans="1:10" s="93" customFormat="1" ht="18.75">
      <c r="A61" s="92">
        <v>2</v>
      </c>
      <c r="B61" s="3" t="s">
        <v>101</v>
      </c>
      <c r="C61" s="4">
        <f t="shared" ref="C61:E61" si="21">C62+C63+C71</f>
        <v>0</v>
      </c>
      <c r="D61" s="4">
        <f t="shared" si="21"/>
        <v>163100</v>
      </c>
      <c r="E61" s="4">
        <f t="shared" si="21"/>
        <v>78727</v>
      </c>
      <c r="F61" s="4">
        <f>F62+F63+F71</f>
        <v>24400</v>
      </c>
      <c r="G61" s="4">
        <f t="shared" ref="G61:H61" si="22">G62+G63+G71</f>
        <v>307590</v>
      </c>
      <c r="H61" s="4">
        <f t="shared" si="22"/>
        <v>638200</v>
      </c>
    </row>
    <row r="62" spans="1:10" s="102" customFormat="1" ht="18.75">
      <c r="A62" s="98" t="s">
        <v>51</v>
      </c>
      <c r="B62" s="99" t="s">
        <v>73</v>
      </c>
      <c r="C62" s="100"/>
      <c r="D62" s="100"/>
      <c r="E62" s="100"/>
      <c r="F62" s="100"/>
      <c r="G62" s="100"/>
      <c r="H62" s="100"/>
    </row>
    <row r="63" spans="1:10" s="101" customFormat="1" ht="18.75">
      <c r="A63" s="98" t="s">
        <v>55</v>
      </c>
      <c r="B63" s="99" t="s">
        <v>74</v>
      </c>
      <c r="C63" s="100">
        <f>SUM(C64:C70)</f>
        <v>0</v>
      </c>
      <c r="D63" s="100">
        <f t="shared" ref="D63:H63" si="23">SUM(D64:D70)</f>
        <v>163100</v>
      </c>
      <c r="E63" s="100">
        <f t="shared" si="23"/>
        <v>78727</v>
      </c>
      <c r="F63" s="100">
        <f t="shared" si="23"/>
        <v>24400</v>
      </c>
      <c r="G63" s="100">
        <f t="shared" si="23"/>
        <v>307590</v>
      </c>
      <c r="H63" s="100">
        <f t="shared" si="23"/>
        <v>638200</v>
      </c>
      <c r="J63" s="111"/>
    </row>
    <row r="64" spans="1:10" s="93" customFormat="1" ht="31.5">
      <c r="A64" s="87" t="s">
        <v>46</v>
      </c>
      <c r="B64" s="103" t="s">
        <v>78</v>
      </c>
      <c r="C64" s="25"/>
      <c r="D64" s="7">
        <f>61570+17000</f>
        <v>78570</v>
      </c>
      <c r="E64" s="25"/>
      <c r="F64" s="7"/>
      <c r="G64" s="7">
        <v>37000</v>
      </c>
      <c r="H64" s="7">
        <v>38200</v>
      </c>
    </row>
    <row r="65" spans="1:9" s="93" customFormat="1" ht="36" customHeight="1">
      <c r="A65" s="87" t="s">
        <v>47</v>
      </c>
      <c r="B65" s="103" t="s">
        <v>80</v>
      </c>
      <c r="C65" s="25"/>
      <c r="D65" s="7">
        <f>15511+19</f>
        <v>15530</v>
      </c>
      <c r="E65" s="7">
        <v>9727</v>
      </c>
      <c r="F65" s="7">
        <v>11400</v>
      </c>
      <c r="G65" s="7">
        <v>5590</v>
      </c>
      <c r="H65" s="7"/>
    </row>
    <row r="66" spans="1:9" s="93" customFormat="1" ht="63">
      <c r="A66" s="87" t="s">
        <v>168</v>
      </c>
      <c r="B66" s="103" t="s">
        <v>102</v>
      </c>
      <c r="C66" s="25"/>
      <c r="D66" s="7">
        <f>25100+43900</f>
        <v>69000</v>
      </c>
      <c r="E66" s="7">
        <v>69000</v>
      </c>
      <c r="F66" s="7">
        <v>13000</v>
      </c>
      <c r="G66" s="7"/>
      <c r="H66" s="7"/>
    </row>
    <row r="67" spans="1:9" s="93" customFormat="1" ht="31.5">
      <c r="A67" s="87" t="s">
        <v>172</v>
      </c>
      <c r="B67" s="103" t="s">
        <v>213</v>
      </c>
      <c r="C67" s="25"/>
      <c r="D67" s="7"/>
      <c r="E67" s="7"/>
      <c r="F67" s="7"/>
      <c r="G67" s="7">
        <v>100000</v>
      </c>
      <c r="H67" s="7">
        <v>200000</v>
      </c>
    </row>
    <row r="68" spans="1:9" s="93" customFormat="1" ht="18.75">
      <c r="A68" s="87" t="s">
        <v>219</v>
      </c>
      <c r="B68" s="103" t="s">
        <v>214</v>
      </c>
      <c r="C68" s="25"/>
      <c r="D68" s="7"/>
      <c r="E68" s="7"/>
      <c r="F68" s="7"/>
      <c r="G68" s="7">
        <v>30000</v>
      </c>
      <c r="H68" s="7">
        <v>30000</v>
      </c>
    </row>
    <row r="69" spans="1:9" s="93" customFormat="1" ht="18.75">
      <c r="A69" s="87" t="s">
        <v>220</v>
      </c>
      <c r="B69" s="103" t="s">
        <v>216</v>
      </c>
      <c r="C69" s="25"/>
      <c r="D69" s="7"/>
      <c r="E69" s="7"/>
      <c r="F69" s="7"/>
      <c r="G69" s="7">
        <v>35000</v>
      </c>
      <c r="H69" s="7">
        <v>70000</v>
      </c>
    </row>
    <row r="70" spans="1:9" s="93" customFormat="1" ht="18.75">
      <c r="A70" s="87" t="s">
        <v>221</v>
      </c>
      <c r="B70" s="103" t="s">
        <v>218</v>
      </c>
      <c r="C70" s="25"/>
      <c r="D70" s="7"/>
      <c r="E70" s="7"/>
      <c r="F70" s="7"/>
      <c r="G70" s="7">
        <v>100000</v>
      </c>
      <c r="H70" s="7">
        <v>300000</v>
      </c>
    </row>
    <row r="71" spans="1:9" s="102" customFormat="1" ht="18.75">
      <c r="A71" s="98" t="s">
        <v>79</v>
      </c>
      <c r="B71" s="99" t="s">
        <v>103</v>
      </c>
      <c r="C71" s="100">
        <f t="shared" ref="C71:H71" si="24">C72</f>
        <v>0</v>
      </c>
      <c r="D71" s="100">
        <f t="shared" si="24"/>
        <v>0</v>
      </c>
      <c r="E71" s="100">
        <f t="shared" si="24"/>
        <v>0</v>
      </c>
      <c r="F71" s="100">
        <f t="shared" si="24"/>
        <v>0</v>
      </c>
      <c r="G71" s="100">
        <f t="shared" si="24"/>
        <v>0</v>
      </c>
      <c r="H71" s="100">
        <f t="shared" si="24"/>
        <v>0</v>
      </c>
      <c r="I71" s="93"/>
    </row>
    <row r="72" spans="1:9" s="93" customFormat="1" ht="20.25" customHeight="1">
      <c r="A72" s="87"/>
      <c r="B72" s="103" t="s">
        <v>169</v>
      </c>
      <c r="C72" s="7"/>
      <c r="D72" s="7"/>
      <c r="E72" s="7"/>
      <c r="F72" s="7"/>
      <c r="G72" s="7"/>
      <c r="H72" s="7"/>
    </row>
    <row r="73" spans="1:9" s="95" customFormat="1" ht="20.25" customHeight="1">
      <c r="A73" s="92" t="s">
        <v>104</v>
      </c>
      <c r="B73" s="3" t="s">
        <v>105</v>
      </c>
      <c r="C73" s="4">
        <f t="shared" ref="C73:H73" si="25">C75+C76+C87</f>
        <v>25222.77735099999</v>
      </c>
      <c r="D73" s="4">
        <f>D75+D76+D87</f>
        <v>171507.81509399999</v>
      </c>
      <c r="E73" s="4">
        <f t="shared" si="25"/>
        <v>87139.592444999987</v>
      </c>
      <c r="F73" s="4">
        <f t="shared" si="25"/>
        <v>98379.908528</v>
      </c>
      <c r="G73" s="4">
        <f t="shared" si="25"/>
        <v>400780.16934399999</v>
      </c>
      <c r="H73" s="4">
        <f t="shared" si="25"/>
        <v>1033790.43016</v>
      </c>
      <c r="I73" s="93"/>
    </row>
    <row r="74" spans="1:9" s="93" customFormat="1" ht="31.5">
      <c r="A74" s="87"/>
      <c r="B74" s="96" t="s">
        <v>106</v>
      </c>
      <c r="C74" s="112">
        <f>C73/C15</f>
        <v>1.1219195255720868E-2</v>
      </c>
      <c r="D74" s="112">
        <f>D73/D15</f>
        <v>6.6127750097538796E-2</v>
      </c>
      <c r="E74" s="112">
        <f>E73/E15</f>
        <v>3.5720863408133102E-2</v>
      </c>
      <c r="F74" s="112">
        <f>F73/F15</f>
        <v>3.6807296833765137E-2</v>
      </c>
      <c r="G74" s="112">
        <f t="shared" ref="G74:H74" si="26">G73/G15</f>
        <v>0.14015135183646521</v>
      </c>
      <c r="H74" s="112">
        <f t="shared" si="26"/>
        <v>0.32581981416311312</v>
      </c>
    </row>
    <row r="75" spans="1:9" s="95" customFormat="1" ht="18.75">
      <c r="A75" s="87">
        <v>1</v>
      </c>
      <c r="B75" s="88" t="s">
        <v>73</v>
      </c>
      <c r="C75" s="7"/>
      <c r="D75" s="7"/>
      <c r="E75" s="7"/>
      <c r="F75" s="7"/>
      <c r="G75" s="7"/>
      <c r="H75" s="7"/>
      <c r="I75" s="93"/>
    </row>
    <row r="76" spans="1:9" s="93" customFormat="1" ht="18.75">
      <c r="A76" s="87">
        <v>2</v>
      </c>
      <c r="B76" s="88" t="s">
        <v>74</v>
      </c>
      <c r="C76" s="7">
        <f>C77+SUM(C80:C86)</f>
        <v>25222.77735099999</v>
      </c>
      <c r="D76" s="7">
        <f t="shared" ref="D76:H76" si="27">D77+SUM(D80:D86)</f>
        <v>171507.81509399999</v>
      </c>
      <c r="E76" s="7">
        <f t="shared" si="27"/>
        <v>87139.592444999987</v>
      </c>
      <c r="F76" s="7">
        <f t="shared" si="27"/>
        <v>98379.908528</v>
      </c>
      <c r="G76" s="7">
        <f t="shared" si="27"/>
        <v>400780.16934399999</v>
      </c>
      <c r="H76" s="7">
        <f t="shared" si="27"/>
        <v>1033790.43016</v>
      </c>
    </row>
    <row r="77" spans="1:9" s="113" customFormat="1" ht="18.75">
      <c r="A77" s="87" t="s">
        <v>51</v>
      </c>
      <c r="B77" s="88" t="s">
        <v>75</v>
      </c>
      <c r="C77" s="7">
        <f>SUM(C78:C79)</f>
        <v>25222.77735099999</v>
      </c>
      <c r="D77" s="7">
        <f t="shared" ref="D77:H77" si="28">SUM(D78:D79)</f>
        <v>8407.8150939999996</v>
      </c>
      <c r="E77" s="7">
        <f t="shared" si="28"/>
        <v>8412.5924449999911</v>
      </c>
      <c r="F77" s="7">
        <f t="shared" si="28"/>
        <v>0</v>
      </c>
      <c r="G77" s="7">
        <f t="shared" si="28"/>
        <v>0</v>
      </c>
      <c r="H77" s="7">
        <f t="shared" si="28"/>
        <v>0</v>
      </c>
      <c r="I77" s="93"/>
    </row>
    <row r="78" spans="1:9" ht="18.75">
      <c r="A78" s="104" t="s">
        <v>46</v>
      </c>
      <c r="B78" s="96" t="s">
        <v>76</v>
      </c>
      <c r="C78" s="25">
        <f t="shared" ref="C78:H79" si="29">C23-C39</f>
        <v>16088.731362999994</v>
      </c>
      <c r="D78" s="25">
        <f t="shared" si="29"/>
        <v>5363.1790899999996</v>
      </c>
      <c r="E78" s="25">
        <f t="shared" si="29"/>
        <v>5362.9104529999931</v>
      </c>
      <c r="F78" s="25">
        <f t="shared" si="29"/>
        <v>0</v>
      </c>
      <c r="G78" s="25">
        <f t="shared" si="29"/>
        <v>0</v>
      </c>
      <c r="H78" s="25">
        <f t="shared" si="29"/>
        <v>0</v>
      </c>
      <c r="I78" s="93"/>
    </row>
    <row r="79" spans="1:9" ht="18.75">
      <c r="A79" s="104" t="s">
        <v>47</v>
      </c>
      <c r="B79" s="96" t="s">
        <v>77</v>
      </c>
      <c r="C79" s="25">
        <f t="shared" si="29"/>
        <v>9134.045987999998</v>
      </c>
      <c r="D79" s="25">
        <f t="shared" si="29"/>
        <v>3044.636004</v>
      </c>
      <c r="E79" s="25">
        <f t="shared" si="29"/>
        <v>3049.681991999998</v>
      </c>
      <c r="F79" s="25">
        <f t="shared" si="29"/>
        <v>0</v>
      </c>
      <c r="G79" s="25">
        <f t="shared" si="29"/>
        <v>0</v>
      </c>
      <c r="H79" s="25">
        <f t="shared" si="29"/>
        <v>0</v>
      </c>
      <c r="I79" s="93"/>
    </row>
    <row r="80" spans="1:9" ht="31.5">
      <c r="A80" s="87" t="s">
        <v>55</v>
      </c>
      <c r="B80" s="88" t="s">
        <v>78</v>
      </c>
      <c r="C80" s="7">
        <f t="shared" ref="C80:E86" si="30">C64</f>
        <v>0</v>
      </c>
      <c r="D80" s="7">
        <f t="shared" si="30"/>
        <v>78570</v>
      </c>
      <c r="E80" s="7">
        <f t="shared" si="30"/>
        <v>0</v>
      </c>
      <c r="F80" s="7">
        <f>F25-F41+F64</f>
        <v>0</v>
      </c>
      <c r="G80" s="7">
        <f t="shared" ref="G80:H80" si="31">G25-G41+G64</f>
        <v>37000</v>
      </c>
      <c r="H80" s="7">
        <f t="shared" si="31"/>
        <v>75200</v>
      </c>
      <c r="I80" s="93"/>
    </row>
    <row r="81" spans="1:9" ht="33.75" customHeight="1">
      <c r="A81" s="87" t="s">
        <v>79</v>
      </c>
      <c r="B81" s="88" t="s">
        <v>80</v>
      </c>
      <c r="C81" s="7">
        <f t="shared" si="30"/>
        <v>0</v>
      </c>
      <c r="D81" s="7">
        <f t="shared" si="30"/>
        <v>15530</v>
      </c>
      <c r="E81" s="7">
        <f t="shared" si="30"/>
        <v>9727</v>
      </c>
      <c r="F81" s="7">
        <f t="shared" ref="F81:H86" si="32">F26-F42+F65</f>
        <v>20687.152287999997</v>
      </c>
      <c r="G81" s="7">
        <f t="shared" si="32"/>
        <v>25394.656863999997</v>
      </c>
      <c r="H81" s="7">
        <f t="shared" si="32"/>
        <v>24515.161439999996</v>
      </c>
      <c r="I81" s="93"/>
    </row>
    <row r="82" spans="1:9" ht="63">
      <c r="A82" s="87" t="s">
        <v>92</v>
      </c>
      <c r="B82" s="103" t="s">
        <v>102</v>
      </c>
      <c r="C82" s="7">
        <f t="shared" si="30"/>
        <v>0</v>
      </c>
      <c r="D82" s="7">
        <f t="shared" si="30"/>
        <v>69000</v>
      </c>
      <c r="E82" s="7">
        <f t="shared" si="30"/>
        <v>69000</v>
      </c>
      <c r="F82" s="7">
        <f t="shared" si="32"/>
        <v>77692.756240000002</v>
      </c>
      <c r="G82" s="7">
        <f t="shared" si="32"/>
        <v>73385.512480000005</v>
      </c>
      <c r="H82" s="7">
        <f t="shared" si="32"/>
        <v>69075.268720000007</v>
      </c>
    </row>
    <row r="83" spans="1:9" s="93" customFormat="1" ht="31.5">
      <c r="A83" s="87" t="s">
        <v>94</v>
      </c>
      <c r="B83" s="103" t="s">
        <v>213</v>
      </c>
      <c r="C83" s="7">
        <f t="shared" si="30"/>
        <v>0</v>
      </c>
      <c r="D83" s="7">
        <f t="shared" si="30"/>
        <v>0</v>
      </c>
      <c r="E83" s="7">
        <f t="shared" si="30"/>
        <v>0</v>
      </c>
      <c r="F83" s="7">
        <f t="shared" si="32"/>
        <v>0</v>
      </c>
      <c r="G83" s="7">
        <f t="shared" si="32"/>
        <v>100000</v>
      </c>
      <c r="H83" s="7">
        <f t="shared" si="32"/>
        <v>300000</v>
      </c>
    </row>
    <row r="84" spans="1:9" s="93" customFormat="1" ht="18.75">
      <c r="A84" s="87" t="s">
        <v>95</v>
      </c>
      <c r="B84" s="103" t="s">
        <v>214</v>
      </c>
      <c r="C84" s="7">
        <f t="shared" si="30"/>
        <v>0</v>
      </c>
      <c r="D84" s="7">
        <f t="shared" si="30"/>
        <v>0</v>
      </c>
      <c r="E84" s="7">
        <f t="shared" si="30"/>
        <v>0</v>
      </c>
      <c r="F84" s="7">
        <f t="shared" si="32"/>
        <v>0</v>
      </c>
      <c r="G84" s="7">
        <f t="shared" si="32"/>
        <v>30000</v>
      </c>
      <c r="H84" s="7">
        <f t="shared" si="32"/>
        <v>60000</v>
      </c>
    </row>
    <row r="85" spans="1:9" s="93" customFormat="1" ht="18.75">
      <c r="A85" s="87" t="s">
        <v>215</v>
      </c>
      <c r="B85" s="103" t="s">
        <v>216</v>
      </c>
      <c r="C85" s="7">
        <f t="shared" si="30"/>
        <v>0</v>
      </c>
      <c r="D85" s="7">
        <f t="shared" si="30"/>
        <v>0</v>
      </c>
      <c r="E85" s="7">
        <f t="shared" si="30"/>
        <v>0</v>
      </c>
      <c r="F85" s="7">
        <f t="shared" si="32"/>
        <v>0</v>
      </c>
      <c r="G85" s="7">
        <f t="shared" si="32"/>
        <v>35000</v>
      </c>
      <c r="H85" s="7">
        <f t="shared" si="32"/>
        <v>105000</v>
      </c>
    </row>
    <row r="86" spans="1:9" s="93" customFormat="1" ht="18.75">
      <c r="A86" s="87" t="s">
        <v>217</v>
      </c>
      <c r="B86" s="103" t="s">
        <v>218</v>
      </c>
      <c r="C86" s="7">
        <f t="shared" si="30"/>
        <v>0</v>
      </c>
      <c r="D86" s="7">
        <f t="shared" si="30"/>
        <v>0</v>
      </c>
      <c r="E86" s="7">
        <f t="shared" si="30"/>
        <v>0</v>
      </c>
      <c r="F86" s="7">
        <f t="shared" si="32"/>
        <v>0</v>
      </c>
      <c r="G86" s="7">
        <f t="shared" si="32"/>
        <v>100000</v>
      </c>
      <c r="H86" s="7">
        <f t="shared" si="32"/>
        <v>400000</v>
      </c>
    </row>
    <row r="87" spans="1:9">
      <c r="A87" s="114">
        <v>3</v>
      </c>
      <c r="B87" s="115" t="s">
        <v>87</v>
      </c>
      <c r="C87" s="116">
        <f t="shared" ref="C87:H87" si="33">C88</f>
        <v>0</v>
      </c>
      <c r="D87" s="116">
        <f t="shared" si="33"/>
        <v>0</v>
      </c>
      <c r="E87" s="116">
        <f t="shared" si="33"/>
        <v>0</v>
      </c>
      <c r="F87" s="116">
        <f t="shared" si="33"/>
        <v>0</v>
      </c>
      <c r="G87" s="116">
        <f t="shared" si="33"/>
        <v>0</v>
      </c>
      <c r="H87" s="116">
        <f t="shared" si="33"/>
        <v>0</v>
      </c>
    </row>
    <row r="88" spans="1:9" ht="31.5">
      <c r="A88" s="104"/>
      <c r="B88" s="109" t="s">
        <v>169</v>
      </c>
      <c r="C88" s="25">
        <f>C33-C49+C72</f>
        <v>0</v>
      </c>
      <c r="D88" s="25"/>
      <c r="E88" s="25">
        <f>E33-E49+E72</f>
        <v>0</v>
      </c>
      <c r="F88" s="25">
        <f>F33-F49+F72</f>
        <v>0</v>
      </c>
      <c r="G88" s="25">
        <f t="shared" ref="G88:H88" si="34">G33-G49+G72</f>
        <v>0</v>
      </c>
      <c r="H88" s="25">
        <f t="shared" si="34"/>
        <v>0</v>
      </c>
    </row>
    <row r="89" spans="1:9">
      <c r="A89" s="117" t="s">
        <v>107</v>
      </c>
      <c r="B89" s="118" t="s">
        <v>108</v>
      </c>
      <c r="C89" s="119">
        <v>1227.134828</v>
      </c>
      <c r="D89" s="119">
        <v>1420</v>
      </c>
      <c r="E89" s="119">
        <v>683.81751899999995</v>
      </c>
      <c r="F89" s="119">
        <v>1449.9790170000001</v>
      </c>
      <c r="G89" s="119">
        <v>1699.8906475144443</v>
      </c>
      <c r="H89" s="119">
        <v>1800.3243412100001</v>
      </c>
    </row>
    <row r="90" spans="1:9" ht="18.75">
      <c r="A90" s="120"/>
      <c r="B90" s="121"/>
      <c r="C90" s="122"/>
      <c r="D90" s="122"/>
      <c r="E90" s="122"/>
      <c r="F90" s="122"/>
      <c r="G90" s="122"/>
      <c r="H90" s="122"/>
    </row>
  </sheetData>
  <mergeCells count="4">
    <mergeCell ref="G1:H1"/>
    <mergeCell ref="A2:H2"/>
    <mergeCell ref="A3:H3"/>
    <mergeCell ref="G4:H4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6" orientation="landscape" r:id="rId1"/>
  <headerFooter>
    <oddFooter>&amp;R&amp;P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8"/>
  <sheetViews>
    <sheetView workbookViewId="0">
      <selection activeCell="E37" sqref="E37:F37"/>
    </sheetView>
  </sheetViews>
  <sheetFormatPr defaultRowHeight="15"/>
  <cols>
    <col min="1" max="1" width="4.85546875" style="31" bestFit="1" customWidth="1"/>
    <col min="2" max="2" width="48.28515625" style="31" customWidth="1"/>
    <col min="3" max="3" width="12" style="31" customWidth="1"/>
    <col min="4" max="8" width="11.85546875" style="32" customWidth="1"/>
    <col min="9" max="9" width="12.28515625" style="32" bestFit="1" customWidth="1"/>
    <col min="10" max="10" width="10.140625" style="70" customWidth="1"/>
    <col min="11" max="11" width="15.42578125" style="31" bestFit="1" customWidth="1"/>
    <col min="12" max="256" width="9.140625" style="31"/>
    <col min="257" max="257" width="4.85546875" style="31" bestFit="1" customWidth="1"/>
    <col min="258" max="258" width="48.28515625" style="31" customWidth="1"/>
    <col min="259" max="259" width="12" style="31" customWidth="1"/>
    <col min="260" max="264" width="11.85546875" style="31" customWidth="1"/>
    <col min="265" max="265" width="12.28515625" style="31" bestFit="1" customWidth="1"/>
    <col min="266" max="266" width="11.5703125" style="31" bestFit="1" customWidth="1"/>
    <col min="267" max="267" width="11.85546875" style="31" bestFit="1" customWidth="1"/>
    <col min="268" max="512" width="9.140625" style="31"/>
    <col min="513" max="513" width="4.85546875" style="31" bestFit="1" customWidth="1"/>
    <col min="514" max="514" width="48.28515625" style="31" customWidth="1"/>
    <col min="515" max="515" width="12" style="31" customWidth="1"/>
    <col min="516" max="520" width="11.85546875" style="31" customWidth="1"/>
    <col min="521" max="521" width="12.28515625" style="31" bestFit="1" customWidth="1"/>
    <col min="522" max="522" width="11.5703125" style="31" bestFit="1" customWidth="1"/>
    <col min="523" max="523" width="11.85546875" style="31" bestFit="1" customWidth="1"/>
    <col min="524" max="768" width="9.140625" style="31"/>
    <col min="769" max="769" width="4.85546875" style="31" bestFit="1" customWidth="1"/>
    <col min="770" max="770" width="48.28515625" style="31" customWidth="1"/>
    <col min="771" max="771" width="12" style="31" customWidth="1"/>
    <col min="772" max="776" width="11.85546875" style="31" customWidth="1"/>
    <col min="777" max="777" width="12.28515625" style="31" bestFit="1" customWidth="1"/>
    <col min="778" max="778" width="11.5703125" style="31" bestFit="1" customWidth="1"/>
    <col min="779" max="779" width="11.85546875" style="31" bestFit="1" customWidth="1"/>
    <col min="780" max="1024" width="9.140625" style="31"/>
    <col min="1025" max="1025" width="4.85546875" style="31" bestFit="1" customWidth="1"/>
    <col min="1026" max="1026" width="48.28515625" style="31" customWidth="1"/>
    <col min="1027" max="1027" width="12" style="31" customWidth="1"/>
    <col min="1028" max="1032" width="11.85546875" style="31" customWidth="1"/>
    <col min="1033" max="1033" width="12.28515625" style="31" bestFit="1" customWidth="1"/>
    <col min="1034" max="1034" width="11.5703125" style="31" bestFit="1" customWidth="1"/>
    <col min="1035" max="1035" width="11.85546875" style="31" bestFit="1" customWidth="1"/>
    <col min="1036" max="1280" width="9.140625" style="31"/>
    <col min="1281" max="1281" width="4.85546875" style="31" bestFit="1" customWidth="1"/>
    <col min="1282" max="1282" width="48.28515625" style="31" customWidth="1"/>
    <col min="1283" max="1283" width="12" style="31" customWidth="1"/>
    <col min="1284" max="1288" width="11.85546875" style="31" customWidth="1"/>
    <col min="1289" max="1289" width="12.28515625" style="31" bestFit="1" customWidth="1"/>
    <col min="1290" max="1290" width="11.5703125" style="31" bestFit="1" customWidth="1"/>
    <col min="1291" max="1291" width="11.85546875" style="31" bestFit="1" customWidth="1"/>
    <col min="1292" max="1536" width="9.140625" style="31"/>
    <col min="1537" max="1537" width="4.85546875" style="31" bestFit="1" customWidth="1"/>
    <col min="1538" max="1538" width="48.28515625" style="31" customWidth="1"/>
    <col min="1539" max="1539" width="12" style="31" customWidth="1"/>
    <col min="1540" max="1544" width="11.85546875" style="31" customWidth="1"/>
    <col min="1545" max="1545" width="12.28515625" style="31" bestFit="1" customWidth="1"/>
    <col min="1546" max="1546" width="11.5703125" style="31" bestFit="1" customWidth="1"/>
    <col min="1547" max="1547" width="11.85546875" style="31" bestFit="1" customWidth="1"/>
    <col min="1548" max="1792" width="9.140625" style="31"/>
    <col min="1793" max="1793" width="4.85546875" style="31" bestFit="1" customWidth="1"/>
    <col min="1794" max="1794" width="48.28515625" style="31" customWidth="1"/>
    <col min="1795" max="1795" width="12" style="31" customWidth="1"/>
    <col min="1796" max="1800" width="11.85546875" style="31" customWidth="1"/>
    <col min="1801" max="1801" width="12.28515625" style="31" bestFit="1" customWidth="1"/>
    <col min="1802" max="1802" width="11.5703125" style="31" bestFit="1" customWidth="1"/>
    <col min="1803" max="1803" width="11.85546875" style="31" bestFit="1" customWidth="1"/>
    <col min="1804" max="2048" width="9.140625" style="31"/>
    <col min="2049" max="2049" width="4.85546875" style="31" bestFit="1" customWidth="1"/>
    <col min="2050" max="2050" width="48.28515625" style="31" customWidth="1"/>
    <col min="2051" max="2051" width="12" style="31" customWidth="1"/>
    <col min="2052" max="2056" width="11.85546875" style="31" customWidth="1"/>
    <col min="2057" max="2057" width="12.28515625" style="31" bestFit="1" customWidth="1"/>
    <col min="2058" max="2058" width="11.5703125" style="31" bestFit="1" customWidth="1"/>
    <col min="2059" max="2059" width="11.85546875" style="31" bestFit="1" customWidth="1"/>
    <col min="2060" max="2304" width="9.140625" style="31"/>
    <col min="2305" max="2305" width="4.85546875" style="31" bestFit="1" customWidth="1"/>
    <col min="2306" max="2306" width="48.28515625" style="31" customWidth="1"/>
    <col min="2307" max="2307" width="12" style="31" customWidth="1"/>
    <col min="2308" max="2312" width="11.85546875" style="31" customWidth="1"/>
    <col min="2313" max="2313" width="12.28515625" style="31" bestFit="1" customWidth="1"/>
    <col min="2314" max="2314" width="11.5703125" style="31" bestFit="1" customWidth="1"/>
    <col min="2315" max="2315" width="11.85546875" style="31" bestFit="1" customWidth="1"/>
    <col min="2316" max="2560" width="9.140625" style="31"/>
    <col min="2561" max="2561" width="4.85546875" style="31" bestFit="1" customWidth="1"/>
    <col min="2562" max="2562" width="48.28515625" style="31" customWidth="1"/>
    <col min="2563" max="2563" width="12" style="31" customWidth="1"/>
    <col min="2564" max="2568" width="11.85546875" style="31" customWidth="1"/>
    <col min="2569" max="2569" width="12.28515625" style="31" bestFit="1" customWidth="1"/>
    <col min="2570" max="2570" width="11.5703125" style="31" bestFit="1" customWidth="1"/>
    <col min="2571" max="2571" width="11.85546875" style="31" bestFit="1" customWidth="1"/>
    <col min="2572" max="2816" width="9.140625" style="31"/>
    <col min="2817" max="2817" width="4.85546875" style="31" bestFit="1" customWidth="1"/>
    <col min="2818" max="2818" width="48.28515625" style="31" customWidth="1"/>
    <col min="2819" max="2819" width="12" style="31" customWidth="1"/>
    <col min="2820" max="2824" width="11.85546875" style="31" customWidth="1"/>
    <col min="2825" max="2825" width="12.28515625" style="31" bestFit="1" customWidth="1"/>
    <col min="2826" max="2826" width="11.5703125" style="31" bestFit="1" customWidth="1"/>
    <col min="2827" max="2827" width="11.85546875" style="31" bestFit="1" customWidth="1"/>
    <col min="2828" max="3072" width="9.140625" style="31"/>
    <col min="3073" max="3073" width="4.85546875" style="31" bestFit="1" customWidth="1"/>
    <col min="3074" max="3074" width="48.28515625" style="31" customWidth="1"/>
    <col min="3075" max="3075" width="12" style="31" customWidth="1"/>
    <col min="3076" max="3080" width="11.85546875" style="31" customWidth="1"/>
    <col min="3081" max="3081" width="12.28515625" style="31" bestFit="1" customWidth="1"/>
    <col min="3082" max="3082" width="11.5703125" style="31" bestFit="1" customWidth="1"/>
    <col min="3083" max="3083" width="11.85546875" style="31" bestFit="1" customWidth="1"/>
    <col min="3084" max="3328" width="9.140625" style="31"/>
    <col min="3329" max="3329" width="4.85546875" style="31" bestFit="1" customWidth="1"/>
    <col min="3330" max="3330" width="48.28515625" style="31" customWidth="1"/>
    <col min="3331" max="3331" width="12" style="31" customWidth="1"/>
    <col min="3332" max="3336" width="11.85546875" style="31" customWidth="1"/>
    <col min="3337" max="3337" width="12.28515625" style="31" bestFit="1" customWidth="1"/>
    <col min="3338" max="3338" width="11.5703125" style="31" bestFit="1" customWidth="1"/>
    <col min="3339" max="3339" width="11.85546875" style="31" bestFit="1" customWidth="1"/>
    <col min="3340" max="3584" width="9.140625" style="31"/>
    <col min="3585" max="3585" width="4.85546875" style="31" bestFit="1" customWidth="1"/>
    <col min="3586" max="3586" width="48.28515625" style="31" customWidth="1"/>
    <col min="3587" max="3587" width="12" style="31" customWidth="1"/>
    <col min="3588" max="3592" width="11.85546875" style="31" customWidth="1"/>
    <col min="3593" max="3593" width="12.28515625" style="31" bestFit="1" customWidth="1"/>
    <col min="3594" max="3594" width="11.5703125" style="31" bestFit="1" customWidth="1"/>
    <col min="3595" max="3595" width="11.85546875" style="31" bestFit="1" customWidth="1"/>
    <col min="3596" max="3840" width="9.140625" style="31"/>
    <col min="3841" max="3841" width="4.85546875" style="31" bestFit="1" customWidth="1"/>
    <col min="3842" max="3842" width="48.28515625" style="31" customWidth="1"/>
    <col min="3843" max="3843" width="12" style="31" customWidth="1"/>
    <col min="3844" max="3848" width="11.85546875" style="31" customWidth="1"/>
    <col min="3849" max="3849" width="12.28515625" style="31" bestFit="1" customWidth="1"/>
    <col min="3850" max="3850" width="11.5703125" style="31" bestFit="1" customWidth="1"/>
    <col min="3851" max="3851" width="11.85546875" style="31" bestFit="1" customWidth="1"/>
    <col min="3852" max="4096" width="9.140625" style="31"/>
    <col min="4097" max="4097" width="4.85546875" style="31" bestFit="1" customWidth="1"/>
    <col min="4098" max="4098" width="48.28515625" style="31" customWidth="1"/>
    <col min="4099" max="4099" width="12" style="31" customWidth="1"/>
    <col min="4100" max="4104" width="11.85546875" style="31" customWidth="1"/>
    <col min="4105" max="4105" width="12.28515625" style="31" bestFit="1" customWidth="1"/>
    <col min="4106" max="4106" width="11.5703125" style="31" bestFit="1" customWidth="1"/>
    <col min="4107" max="4107" width="11.85546875" style="31" bestFit="1" customWidth="1"/>
    <col min="4108" max="4352" width="9.140625" style="31"/>
    <col min="4353" max="4353" width="4.85546875" style="31" bestFit="1" customWidth="1"/>
    <col min="4354" max="4354" width="48.28515625" style="31" customWidth="1"/>
    <col min="4355" max="4355" width="12" style="31" customWidth="1"/>
    <col min="4356" max="4360" width="11.85546875" style="31" customWidth="1"/>
    <col min="4361" max="4361" width="12.28515625" style="31" bestFit="1" customWidth="1"/>
    <col min="4362" max="4362" width="11.5703125" style="31" bestFit="1" customWidth="1"/>
    <col min="4363" max="4363" width="11.85546875" style="31" bestFit="1" customWidth="1"/>
    <col min="4364" max="4608" width="9.140625" style="31"/>
    <col min="4609" max="4609" width="4.85546875" style="31" bestFit="1" customWidth="1"/>
    <col min="4610" max="4610" width="48.28515625" style="31" customWidth="1"/>
    <col min="4611" max="4611" width="12" style="31" customWidth="1"/>
    <col min="4612" max="4616" width="11.85546875" style="31" customWidth="1"/>
    <col min="4617" max="4617" width="12.28515625" style="31" bestFit="1" customWidth="1"/>
    <col min="4618" max="4618" width="11.5703125" style="31" bestFit="1" customWidth="1"/>
    <col min="4619" max="4619" width="11.85546875" style="31" bestFit="1" customWidth="1"/>
    <col min="4620" max="4864" width="9.140625" style="31"/>
    <col min="4865" max="4865" width="4.85546875" style="31" bestFit="1" customWidth="1"/>
    <col min="4866" max="4866" width="48.28515625" style="31" customWidth="1"/>
    <col min="4867" max="4867" width="12" style="31" customWidth="1"/>
    <col min="4868" max="4872" width="11.85546875" style="31" customWidth="1"/>
    <col min="4873" max="4873" width="12.28515625" style="31" bestFit="1" customWidth="1"/>
    <col min="4874" max="4874" width="11.5703125" style="31" bestFit="1" customWidth="1"/>
    <col min="4875" max="4875" width="11.85546875" style="31" bestFit="1" customWidth="1"/>
    <col min="4876" max="5120" width="9.140625" style="31"/>
    <col min="5121" max="5121" width="4.85546875" style="31" bestFit="1" customWidth="1"/>
    <col min="5122" max="5122" width="48.28515625" style="31" customWidth="1"/>
    <col min="5123" max="5123" width="12" style="31" customWidth="1"/>
    <col min="5124" max="5128" width="11.85546875" style="31" customWidth="1"/>
    <col min="5129" max="5129" width="12.28515625" style="31" bestFit="1" customWidth="1"/>
    <col min="5130" max="5130" width="11.5703125" style="31" bestFit="1" customWidth="1"/>
    <col min="5131" max="5131" width="11.85546875" style="31" bestFit="1" customWidth="1"/>
    <col min="5132" max="5376" width="9.140625" style="31"/>
    <col min="5377" max="5377" width="4.85546875" style="31" bestFit="1" customWidth="1"/>
    <col min="5378" max="5378" width="48.28515625" style="31" customWidth="1"/>
    <col min="5379" max="5379" width="12" style="31" customWidth="1"/>
    <col min="5380" max="5384" width="11.85546875" style="31" customWidth="1"/>
    <col min="5385" max="5385" width="12.28515625" style="31" bestFit="1" customWidth="1"/>
    <col min="5386" max="5386" width="11.5703125" style="31" bestFit="1" customWidth="1"/>
    <col min="5387" max="5387" width="11.85546875" style="31" bestFit="1" customWidth="1"/>
    <col min="5388" max="5632" width="9.140625" style="31"/>
    <col min="5633" max="5633" width="4.85546875" style="31" bestFit="1" customWidth="1"/>
    <col min="5634" max="5634" width="48.28515625" style="31" customWidth="1"/>
    <col min="5635" max="5635" width="12" style="31" customWidth="1"/>
    <col min="5636" max="5640" width="11.85546875" style="31" customWidth="1"/>
    <col min="5641" max="5641" width="12.28515625" style="31" bestFit="1" customWidth="1"/>
    <col min="5642" max="5642" width="11.5703125" style="31" bestFit="1" customWidth="1"/>
    <col min="5643" max="5643" width="11.85546875" style="31" bestFit="1" customWidth="1"/>
    <col min="5644" max="5888" width="9.140625" style="31"/>
    <col min="5889" max="5889" width="4.85546875" style="31" bestFit="1" customWidth="1"/>
    <col min="5890" max="5890" width="48.28515625" style="31" customWidth="1"/>
    <col min="5891" max="5891" width="12" style="31" customWidth="1"/>
    <col min="5892" max="5896" width="11.85546875" style="31" customWidth="1"/>
    <col min="5897" max="5897" width="12.28515625" style="31" bestFit="1" customWidth="1"/>
    <col min="5898" max="5898" width="11.5703125" style="31" bestFit="1" customWidth="1"/>
    <col min="5899" max="5899" width="11.85546875" style="31" bestFit="1" customWidth="1"/>
    <col min="5900" max="6144" width="9.140625" style="31"/>
    <col min="6145" max="6145" width="4.85546875" style="31" bestFit="1" customWidth="1"/>
    <col min="6146" max="6146" width="48.28515625" style="31" customWidth="1"/>
    <col min="6147" max="6147" width="12" style="31" customWidth="1"/>
    <col min="6148" max="6152" width="11.85546875" style="31" customWidth="1"/>
    <col min="6153" max="6153" width="12.28515625" style="31" bestFit="1" customWidth="1"/>
    <col min="6154" max="6154" width="11.5703125" style="31" bestFit="1" customWidth="1"/>
    <col min="6155" max="6155" width="11.85546875" style="31" bestFit="1" customWidth="1"/>
    <col min="6156" max="6400" width="9.140625" style="31"/>
    <col min="6401" max="6401" width="4.85546875" style="31" bestFit="1" customWidth="1"/>
    <col min="6402" max="6402" width="48.28515625" style="31" customWidth="1"/>
    <col min="6403" max="6403" width="12" style="31" customWidth="1"/>
    <col min="6404" max="6408" width="11.85546875" style="31" customWidth="1"/>
    <col min="6409" max="6409" width="12.28515625" style="31" bestFit="1" customWidth="1"/>
    <col min="6410" max="6410" width="11.5703125" style="31" bestFit="1" customWidth="1"/>
    <col min="6411" max="6411" width="11.85546875" style="31" bestFit="1" customWidth="1"/>
    <col min="6412" max="6656" width="9.140625" style="31"/>
    <col min="6657" max="6657" width="4.85546875" style="31" bestFit="1" customWidth="1"/>
    <col min="6658" max="6658" width="48.28515625" style="31" customWidth="1"/>
    <col min="6659" max="6659" width="12" style="31" customWidth="1"/>
    <col min="6660" max="6664" width="11.85546875" style="31" customWidth="1"/>
    <col min="6665" max="6665" width="12.28515625" style="31" bestFit="1" customWidth="1"/>
    <col min="6666" max="6666" width="11.5703125" style="31" bestFit="1" customWidth="1"/>
    <col min="6667" max="6667" width="11.85546875" style="31" bestFit="1" customWidth="1"/>
    <col min="6668" max="6912" width="9.140625" style="31"/>
    <col min="6913" max="6913" width="4.85546875" style="31" bestFit="1" customWidth="1"/>
    <col min="6914" max="6914" width="48.28515625" style="31" customWidth="1"/>
    <col min="6915" max="6915" width="12" style="31" customWidth="1"/>
    <col min="6916" max="6920" width="11.85546875" style="31" customWidth="1"/>
    <col min="6921" max="6921" width="12.28515625" style="31" bestFit="1" customWidth="1"/>
    <col min="6922" max="6922" width="11.5703125" style="31" bestFit="1" customWidth="1"/>
    <col min="6923" max="6923" width="11.85546875" style="31" bestFit="1" customWidth="1"/>
    <col min="6924" max="7168" width="9.140625" style="31"/>
    <col min="7169" max="7169" width="4.85546875" style="31" bestFit="1" customWidth="1"/>
    <col min="7170" max="7170" width="48.28515625" style="31" customWidth="1"/>
    <col min="7171" max="7171" width="12" style="31" customWidth="1"/>
    <col min="7172" max="7176" width="11.85546875" style="31" customWidth="1"/>
    <col min="7177" max="7177" width="12.28515625" style="31" bestFit="1" customWidth="1"/>
    <col min="7178" max="7178" width="11.5703125" style="31" bestFit="1" customWidth="1"/>
    <col min="7179" max="7179" width="11.85546875" style="31" bestFit="1" customWidth="1"/>
    <col min="7180" max="7424" width="9.140625" style="31"/>
    <col min="7425" max="7425" width="4.85546875" style="31" bestFit="1" customWidth="1"/>
    <col min="7426" max="7426" width="48.28515625" style="31" customWidth="1"/>
    <col min="7427" max="7427" width="12" style="31" customWidth="1"/>
    <col min="7428" max="7432" width="11.85546875" style="31" customWidth="1"/>
    <col min="7433" max="7433" width="12.28515625" style="31" bestFit="1" customWidth="1"/>
    <col min="7434" max="7434" width="11.5703125" style="31" bestFit="1" customWidth="1"/>
    <col min="7435" max="7435" width="11.85546875" style="31" bestFit="1" customWidth="1"/>
    <col min="7436" max="7680" width="9.140625" style="31"/>
    <col min="7681" max="7681" width="4.85546875" style="31" bestFit="1" customWidth="1"/>
    <col min="7682" max="7682" width="48.28515625" style="31" customWidth="1"/>
    <col min="7683" max="7683" width="12" style="31" customWidth="1"/>
    <col min="7684" max="7688" width="11.85546875" style="31" customWidth="1"/>
    <col min="7689" max="7689" width="12.28515625" style="31" bestFit="1" customWidth="1"/>
    <col min="7690" max="7690" width="11.5703125" style="31" bestFit="1" customWidth="1"/>
    <col min="7691" max="7691" width="11.85546875" style="31" bestFit="1" customWidth="1"/>
    <col min="7692" max="7936" width="9.140625" style="31"/>
    <col min="7937" max="7937" width="4.85546875" style="31" bestFit="1" customWidth="1"/>
    <col min="7938" max="7938" width="48.28515625" style="31" customWidth="1"/>
    <col min="7939" max="7939" width="12" style="31" customWidth="1"/>
    <col min="7940" max="7944" width="11.85546875" style="31" customWidth="1"/>
    <col min="7945" max="7945" width="12.28515625" style="31" bestFit="1" customWidth="1"/>
    <col min="7946" max="7946" width="11.5703125" style="31" bestFit="1" customWidth="1"/>
    <col min="7947" max="7947" width="11.85546875" style="31" bestFit="1" customWidth="1"/>
    <col min="7948" max="8192" width="9.140625" style="31"/>
    <col min="8193" max="8193" width="4.85546875" style="31" bestFit="1" customWidth="1"/>
    <col min="8194" max="8194" width="48.28515625" style="31" customWidth="1"/>
    <col min="8195" max="8195" width="12" style="31" customWidth="1"/>
    <col min="8196" max="8200" width="11.85546875" style="31" customWidth="1"/>
    <col min="8201" max="8201" width="12.28515625" style="31" bestFit="1" customWidth="1"/>
    <col min="8202" max="8202" width="11.5703125" style="31" bestFit="1" customWidth="1"/>
    <col min="8203" max="8203" width="11.85546875" style="31" bestFit="1" customWidth="1"/>
    <col min="8204" max="8448" width="9.140625" style="31"/>
    <col min="8449" max="8449" width="4.85546875" style="31" bestFit="1" customWidth="1"/>
    <col min="8450" max="8450" width="48.28515625" style="31" customWidth="1"/>
    <col min="8451" max="8451" width="12" style="31" customWidth="1"/>
    <col min="8452" max="8456" width="11.85546875" style="31" customWidth="1"/>
    <col min="8457" max="8457" width="12.28515625" style="31" bestFit="1" customWidth="1"/>
    <col min="8458" max="8458" width="11.5703125" style="31" bestFit="1" customWidth="1"/>
    <col min="8459" max="8459" width="11.85546875" style="31" bestFit="1" customWidth="1"/>
    <col min="8460" max="8704" width="9.140625" style="31"/>
    <col min="8705" max="8705" width="4.85546875" style="31" bestFit="1" customWidth="1"/>
    <col min="8706" max="8706" width="48.28515625" style="31" customWidth="1"/>
    <col min="8707" max="8707" width="12" style="31" customWidth="1"/>
    <col min="8708" max="8712" width="11.85546875" style="31" customWidth="1"/>
    <col min="8713" max="8713" width="12.28515625" style="31" bestFit="1" customWidth="1"/>
    <col min="8714" max="8714" width="11.5703125" style="31" bestFit="1" customWidth="1"/>
    <col min="8715" max="8715" width="11.85546875" style="31" bestFit="1" customWidth="1"/>
    <col min="8716" max="8960" width="9.140625" style="31"/>
    <col min="8961" max="8961" width="4.85546875" style="31" bestFit="1" customWidth="1"/>
    <col min="8962" max="8962" width="48.28515625" style="31" customWidth="1"/>
    <col min="8963" max="8963" width="12" style="31" customWidth="1"/>
    <col min="8964" max="8968" width="11.85546875" style="31" customWidth="1"/>
    <col min="8969" max="8969" width="12.28515625" style="31" bestFit="1" customWidth="1"/>
    <col min="8970" max="8970" width="11.5703125" style="31" bestFit="1" customWidth="1"/>
    <col min="8971" max="8971" width="11.85546875" style="31" bestFit="1" customWidth="1"/>
    <col min="8972" max="9216" width="9.140625" style="31"/>
    <col min="9217" max="9217" width="4.85546875" style="31" bestFit="1" customWidth="1"/>
    <col min="9218" max="9218" width="48.28515625" style="31" customWidth="1"/>
    <col min="9219" max="9219" width="12" style="31" customWidth="1"/>
    <col min="9220" max="9224" width="11.85546875" style="31" customWidth="1"/>
    <col min="9225" max="9225" width="12.28515625" style="31" bestFit="1" customWidth="1"/>
    <col min="9226" max="9226" width="11.5703125" style="31" bestFit="1" customWidth="1"/>
    <col min="9227" max="9227" width="11.85546875" style="31" bestFit="1" customWidth="1"/>
    <col min="9228" max="9472" width="9.140625" style="31"/>
    <col min="9473" max="9473" width="4.85546875" style="31" bestFit="1" customWidth="1"/>
    <col min="9474" max="9474" width="48.28515625" style="31" customWidth="1"/>
    <col min="9475" max="9475" width="12" style="31" customWidth="1"/>
    <col min="9476" max="9480" width="11.85546875" style="31" customWidth="1"/>
    <col min="9481" max="9481" width="12.28515625" style="31" bestFit="1" customWidth="1"/>
    <col min="9482" max="9482" width="11.5703125" style="31" bestFit="1" customWidth="1"/>
    <col min="9483" max="9483" width="11.85546875" style="31" bestFit="1" customWidth="1"/>
    <col min="9484" max="9728" width="9.140625" style="31"/>
    <col min="9729" max="9729" width="4.85546875" style="31" bestFit="1" customWidth="1"/>
    <col min="9730" max="9730" width="48.28515625" style="31" customWidth="1"/>
    <col min="9731" max="9731" width="12" style="31" customWidth="1"/>
    <col min="9732" max="9736" width="11.85546875" style="31" customWidth="1"/>
    <col min="9737" max="9737" width="12.28515625" style="31" bestFit="1" customWidth="1"/>
    <col min="9738" max="9738" width="11.5703125" style="31" bestFit="1" customWidth="1"/>
    <col min="9739" max="9739" width="11.85546875" style="31" bestFit="1" customWidth="1"/>
    <col min="9740" max="9984" width="9.140625" style="31"/>
    <col min="9985" max="9985" width="4.85546875" style="31" bestFit="1" customWidth="1"/>
    <col min="9986" max="9986" width="48.28515625" style="31" customWidth="1"/>
    <col min="9987" max="9987" width="12" style="31" customWidth="1"/>
    <col min="9988" max="9992" width="11.85546875" style="31" customWidth="1"/>
    <col min="9993" max="9993" width="12.28515625" style="31" bestFit="1" customWidth="1"/>
    <col min="9994" max="9994" width="11.5703125" style="31" bestFit="1" customWidth="1"/>
    <col min="9995" max="9995" width="11.85546875" style="31" bestFit="1" customWidth="1"/>
    <col min="9996" max="10240" width="9.140625" style="31"/>
    <col min="10241" max="10241" width="4.85546875" style="31" bestFit="1" customWidth="1"/>
    <col min="10242" max="10242" width="48.28515625" style="31" customWidth="1"/>
    <col min="10243" max="10243" width="12" style="31" customWidth="1"/>
    <col min="10244" max="10248" width="11.85546875" style="31" customWidth="1"/>
    <col min="10249" max="10249" width="12.28515625" style="31" bestFit="1" customWidth="1"/>
    <col min="10250" max="10250" width="11.5703125" style="31" bestFit="1" customWidth="1"/>
    <col min="10251" max="10251" width="11.85546875" style="31" bestFit="1" customWidth="1"/>
    <col min="10252" max="10496" width="9.140625" style="31"/>
    <col min="10497" max="10497" width="4.85546875" style="31" bestFit="1" customWidth="1"/>
    <col min="10498" max="10498" width="48.28515625" style="31" customWidth="1"/>
    <col min="10499" max="10499" width="12" style="31" customWidth="1"/>
    <col min="10500" max="10504" width="11.85546875" style="31" customWidth="1"/>
    <col min="10505" max="10505" width="12.28515625" style="31" bestFit="1" customWidth="1"/>
    <col min="10506" max="10506" width="11.5703125" style="31" bestFit="1" customWidth="1"/>
    <col min="10507" max="10507" width="11.85546875" style="31" bestFit="1" customWidth="1"/>
    <col min="10508" max="10752" width="9.140625" style="31"/>
    <col min="10753" max="10753" width="4.85546875" style="31" bestFit="1" customWidth="1"/>
    <col min="10754" max="10754" width="48.28515625" style="31" customWidth="1"/>
    <col min="10755" max="10755" width="12" style="31" customWidth="1"/>
    <col min="10756" max="10760" width="11.85546875" style="31" customWidth="1"/>
    <col min="10761" max="10761" width="12.28515625" style="31" bestFit="1" customWidth="1"/>
    <col min="10762" max="10762" width="11.5703125" style="31" bestFit="1" customWidth="1"/>
    <col min="10763" max="10763" width="11.85546875" style="31" bestFit="1" customWidth="1"/>
    <col min="10764" max="11008" width="9.140625" style="31"/>
    <col min="11009" max="11009" width="4.85546875" style="31" bestFit="1" customWidth="1"/>
    <col min="11010" max="11010" width="48.28515625" style="31" customWidth="1"/>
    <col min="11011" max="11011" width="12" style="31" customWidth="1"/>
    <col min="11012" max="11016" width="11.85546875" style="31" customWidth="1"/>
    <col min="11017" max="11017" width="12.28515625" style="31" bestFit="1" customWidth="1"/>
    <col min="11018" max="11018" width="11.5703125" style="31" bestFit="1" customWidth="1"/>
    <col min="11019" max="11019" width="11.85546875" style="31" bestFit="1" customWidth="1"/>
    <col min="11020" max="11264" width="9.140625" style="31"/>
    <col min="11265" max="11265" width="4.85546875" style="31" bestFit="1" customWidth="1"/>
    <col min="11266" max="11266" width="48.28515625" style="31" customWidth="1"/>
    <col min="11267" max="11267" width="12" style="31" customWidth="1"/>
    <col min="11268" max="11272" width="11.85546875" style="31" customWidth="1"/>
    <col min="11273" max="11273" width="12.28515625" style="31" bestFit="1" customWidth="1"/>
    <col min="11274" max="11274" width="11.5703125" style="31" bestFit="1" customWidth="1"/>
    <col min="11275" max="11275" width="11.85546875" style="31" bestFit="1" customWidth="1"/>
    <col min="11276" max="11520" width="9.140625" style="31"/>
    <col min="11521" max="11521" width="4.85546875" style="31" bestFit="1" customWidth="1"/>
    <col min="11522" max="11522" width="48.28515625" style="31" customWidth="1"/>
    <col min="11523" max="11523" width="12" style="31" customWidth="1"/>
    <col min="11524" max="11528" width="11.85546875" style="31" customWidth="1"/>
    <col min="11529" max="11529" width="12.28515625" style="31" bestFit="1" customWidth="1"/>
    <col min="11530" max="11530" width="11.5703125" style="31" bestFit="1" customWidth="1"/>
    <col min="11531" max="11531" width="11.85546875" style="31" bestFit="1" customWidth="1"/>
    <col min="11532" max="11776" width="9.140625" style="31"/>
    <col min="11777" max="11777" width="4.85546875" style="31" bestFit="1" customWidth="1"/>
    <col min="11778" max="11778" width="48.28515625" style="31" customWidth="1"/>
    <col min="11779" max="11779" width="12" style="31" customWidth="1"/>
    <col min="11780" max="11784" width="11.85546875" style="31" customWidth="1"/>
    <col min="11785" max="11785" width="12.28515625" style="31" bestFit="1" customWidth="1"/>
    <col min="11786" max="11786" width="11.5703125" style="31" bestFit="1" customWidth="1"/>
    <col min="11787" max="11787" width="11.85546875" style="31" bestFit="1" customWidth="1"/>
    <col min="11788" max="12032" width="9.140625" style="31"/>
    <col min="12033" max="12033" width="4.85546875" style="31" bestFit="1" customWidth="1"/>
    <col min="12034" max="12034" width="48.28515625" style="31" customWidth="1"/>
    <col min="12035" max="12035" width="12" style="31" customWidth="1"/>
    <col min="12036" max="12040" width="11.85546875" style="31" customWidth="1"/>
    <col min="12041" max="12041" width="12.28515625" style="31" bestFit="1" customWidth="1"/>
    <col min="12042" max="12042" width="11.5703125" style="31" bestFit="1" customWidth="1"/>
    <col min="12043" max="12043" width="11.85546875" style="31" bestFit="1" customWidth="1"/>
    <col min="12044" max="12288" width="9.140625" style="31"/>
    <col min="12289" max="12289" width="4.85546875" style="31" bestFit="1" customWidth="1"/>
    <col min="12290" max="12290" width="48.28515625" style="31" customWidth="1"/>
    <col min="12291" max="12291" width="12" style="31" customWidth="1"/>
    <col min="12292" max="12296" width="11.85546875" style="31" customWidth="1"/>
    <col min="12297" max="12297" width="12.28515625" style="31" bestFit="1" customWidth="1"/>
    <col min="12298" max="12298" width="11.5703125" style="31" bestFit="1" customWidth="1"/>
    <col min="12299" max="12299" width="11.85546875" style="31" bestFit="1" customWidth="1"/>
    <col min="12300" max="12544" width="9.140625" style="31"/>
    <col min="12545" max="12545" width="4.85546875" style="31" bestFit="1" customWidth="1"/>
    <col min="12546" max="12546" width="48.28515625" style="31" customWidth="1"/>
    <col min="12547" max="12547" width="12" style="31" customWidth="1"/>
    <col min="12548" max="12552" width="11.85546875" style="31" customWidth="1"/>
    <col min="12553" max="12553" width="12.28515625" style="31" bestFit="1" customWidth="1"/>
    <col min="12554" max="12554" width="11.5703125" style="31" bestFit="1" customWidth="1"/>
    <col min="12555" max="12555" width="11.85546875" style="31" bestFit="1" customWidth="1"/>
    <col min="12556" max="12800" width="9.140625" style="31"/>
    <col min="12801" max="12801" width="4.85546875" style="31" bestFit="1" customWidth="1"/>
    <col min="12802" max="12802" width="48.28515625" style="31" customWidth="1"/>
    <col min="12803" max="12803" width="12" style="31" customWidth="1"/>
    <col min="12804" max="12808" width="11.85546875" style="31" customWidth="1"/>
    <col min="12809" max="12809" width="12.28515625" style="31" bestFit="1" customWidth="1"/>
    <col min="12810" max="12810" width="11.5703125" style="31" bestFit="1" customWidth="1"/>
    <col min="12811" max="12811" width="11.85546875" style="31" bestFit="1" customWidth="1"/>
    <col min="12812" max="13056" width="9.140625" style="31"/>
    <col min="13057" max="13057" width="4.85546875" style="31" bestFit="1" customWidth="1"/>
    <col min="13058" max="13058" width="48.28515625" style="31" customWidth="1"/>
    <col min="13059" max="13059" width="12" style="31" customWidth="1"/>
    <col min="13060" max="13064" width="11.85546875" style="31" customWidth="1"/>
    <col min="13065" max="13065" width="12.28515625" style="31" bestFit="1" customWidth="1"/>
    <col min="13066" max="13066" width="11.5703125" style="31" bestFit="1" customWidth="1"/>
    <col min="13067" max="13067" width="11.85546875" style="31" bestFit="1" customWidth="1"/>
    <col min="13068" max="13312" width="9.140625" style="31"/>
    <col min="13313" max="13313" width="4.85546875" style="31" bestFit="1" customWidth="1"/>
    <col min="13314" max="13314" width="48.28515625" style="31" customWidth="1"/>
    <col min="13315" max="13315" width="12" style="31" customWidth="1"/>
    <col min="13316" max="13320" width="11.85546875" style="31" customWidth="1"/>
    <col min="13321" max="13321" width="12.28515625" style="31" bestFit="1" customWidth="1"/>
    <col min="13322" max="13322" width="11.5703125" style="31" bestFit="1" customWidth="1"/>
    <col min="13323" max="13323" width="11.85546875" style="31" bestFit="1" customWidth="1"/>
    <col min="13324" max="13568" width="9.140625" style="31"/>
    <col min="13569" max="13569" width="4.85546875" style="31" bestFit="1" customWidth="1"/>
    <col min="13570" max="13570" width="48.28515625" style="31" customWidth="1"/>
    <col min="13571" max="13571" width="12" style="31" customWidth="1"/>
    <col min="13572" max="13576" width="11.85546875" style="31" customWidth="1"/>
    <col min="13577" max="13577" width="12.28515625" style="31" bestFit="1" customWidth="1"/>
    <col min="13578" max="13578" width="11.5703125" style="31" bestFit="1" customWidth="1"/>
    <col min="13579" max="13579" width="11.85546875" style="31" bestFit="1" customWidth="1"/>
    <col min="13580" max="13824" width="9.140625" style="31"/>
    <col min="13825" max="13825" width="4.85546875" style="31" bestFit="1" customWidth="1"/>
    <col min="13826" max="13826" width="48.28515625" style="31" customWidth="1"/>
    <col min="13827" max="13827" width="12" style="31" customWidth="1"/>
    <col min="13828" max="13832" width="11.85546875" style="31" customWidth="1"/>
    <col min="13833" max="13833" width="12.28515625" style="31" bestFit="1" customWidth="1"/>
    <col min="13834" max="13834" width="11.5703125" style="31" bestFit="1" customWidth="1"/>
    <col min="13835" max="13835" width="11.85546875" style="31" bestFit="1" customWidth="1"/>
    <col min="13836" max="14080" width="9.140625" style="31"/>
    <col min="14081" max="14081" width="4.85546875" style="31" bestFit="1" customWidth="1"/>
    <col min="14082" max="14082" width="48.28515625" style="31" customWidth="1"/>
    <col min="14083" max="14083" width="12" style="31" customWidth="1"/>
    <col min="14084" max="14088" width="11.85546875" style="31" customWidth="1"/>
    <col min="14089" max="14089" width="12.28515625" style="31" bestFit="1" customWidth="1"/>
    <col min="14090" max="14090" width="11.5703125" style="31" bestFit="1" customWidth="1"/>
    <col min="14091" max="14091" width="11.85546875" style="31" bestFit="1" customWidth="1"/>
    <col min="14092" max="14336" width="9.140625" style="31"/>
    <col min="14337" max="14337" width="4.85546875" style="31" bestFit="1" customWidth="1"/>
    <col min="14338" max="14338" width="48.28515625" style="31" customWidth="1"/>
    <col min="14339" max="14339" width="12" style="31" customWidth="1"/>
    <col min="14340" max="14344" width="11.85546875" style="31" customWidth="1"/>
    <col min="14345" max="14345" width="12.28515625" style="31" bestFit="1" customWidth="1"/>
    <col min="14346" max="14346" width="11.5703125" style="31" bestFit="1" customWidth="1"/>
    <col min="14347" max="14347" width="11.85546875" style="31" bestFit="1" customWidth="1"/>
    <col min="14348" max="14592" width="9.140625" style="31"/>
    <col min="14593" max="14593" width="4.85546875" style="31" bestFit="1" customWidth="1"/>
    <col min="14594" max="14594" width="48.28515625" style="31" customWidth="1"/>
    <col min="14595" max="14595" width="12" style="31" customWidth="1"/>
    <col min="14596" max="14600" width="11.85546875" style="31" customWidth="1"/>
    <col min="14601" max="14601" width="12.28515625" style="31" bestFit="1" customWidth="1"/>
    <col min="14602" max="14602" width="11.5703125" style="31" bestFit="1" customWidth="1"/>
    <col min="14603" max="14603" width="11.85546875" style="31" bestFit="1" customWidth="1"/>
    <col min="14604" max="14848" width="9.140625" style="31"/>
    <col min="14849" max="14849" width="4.85546875" style="31" bestFit="1" customWidth="1"/>
    <col min="14850" max="14850" width="48.28515625" style="31" customWidth="1"/>
    <col min="14851" max="14851" width="12" style="31" customWidth="1"/>
    <col min="14852" max="14856" width="11.85546875" style="31" customWidth="1"/>
    <col min="14857" max="14857" width="12.28515625" style="31" bestFit="1" customWidth="1"/>
    <col min="14858" max="14858" width="11.5703125" style="31" bestFit="1" customWidth="1"/>
    <col min="14859" max="14859" width="11.85546875" style="31" bestFit="1" customWidth="1"/>
    <col min="14860" max="15104" width="9.140625" style="31"/>
    <col min="15105" max="15105" width="4.85546875" style="31" bestFit="1" customWidth="1"/>
    <col min="15106" max="15106" width="48.28515625" style="31" customWidth="1"/>
    <col min="15107" max="15107" width="12" style="31" customWidth="1"/>
    <col min="15108" max="15112" width="11.85546875" style="31" customWidth="1"/>
    <col min="15113" max="15113" width="12.28515625" style="31" bestFit="1" customWidth="1"/>
    <col min="15114" max="15114" width="11.5703125" style="31" bestFit="1" customWidth="1"/>
    <col min="15115" max="15115" width="11.85546875" style="31" bestFit="1" customWidth="1"/>
    <col min="15116" max="15360" width="9.140625" style="31"/>
    <col min="15361" max="15361" width="4.85546875" style="31" bestFit="1" customWidth="1"/>
    <col min="15362" max="15362" width="48.28515625" style="31" customWidth="1"/>
    <col min="15363" max="15363" width="12" style="31" customWidth="1"/>
    <col min="15364" max="15368" width="11.85546875" style="31" customWidth="1"/>
    <col min="15369" max="15369" width="12.28515625" style="31" bestFit="1" customWidth="1"/>
    <col min="15370" max="15370" width="11.5703125" style="31" bestFit="1" customWidth="1"/>
    <col min="15371" max="15371" width="11.85546875" style="31" bestFit="1" customWidth="1"/>
    <col min="15372" max="15616" width="9.140625" style="31"/>
    <col min="15617" max="15617" width="4.85546875" style="31" bestFit="1" customWidth="1"/>
    <col min="15618" max="15618" width="48.28515625" style="31" customWidth="1"/>
    <col min="15619" max="15619" width="12" style="31" customWidth="1"/>
    <col min="15620" max="15624" width="11.85546875" style="31" customWidth="1"/>
    <col min="15625" max="15625" width="12.28515625" style="31" bestFit="1" customWidth="1"/>
    <col min="15626" max="15626" width="11.5703125" style="31" bestFit="1" customWidth="1"/>
    <col min="15627" max="15627" width="11.85546875" style="31" bestFit="1" customWidth="1"/>
    <col min="15628" max="15872" width="9.140625" style="31"/>
    <col min="15873" max="15873" width="4.85546875" style="31" bestFit="1" customWidth="1"/>
    <col min="15874" max="15874" width="48.28515625" style="31" customWidth="1"/>
    <col min="15875" max="15875" width="12" style="31" customWidth="1"/>
    <col min="15876" max="15880" width="11.85546875" style="31" customWidth="1"/>
    <col min="15881" max="15881" width="12.28515625" style="31" bestFit="1" customWidth="1"/>
    <col min="15882" max="15882" width="11.5703125" style="31" bestFit="1" customWidth="1"/>
    <col min="15883" max="15883" width="11.85546875" style="31" bestFit="1" customWidth="1"/>
    <col min="15884" max="16128" width="9.140625" style="31"/>
    <col min="16129" max="16129" width="4.85546875" style="31" bestFit="1" customWidth="1"/>
    <col min="16130" max="16130" width="48.28515625" style="31" customWidth="1"/>
    <col min="16131" max="16131" width="12" style="31" customWidth="1"/>
    <col min="16132" max="16136" width="11.85546875" style="31" customWidth="1"/>
    <col min="16137" max="16137" width="12.28515625" style="31" bestFit="1" customWidth="1"/>
    <col min="16138" max="16138" width="11.5703125" style="31" bestFit="1" customWidth="1"/>
    <col min="16139" max="16139" width="11.85546875" style="31" bestFit="1" customWidth="1"/>
    <col min="16140" max="16384" width="9.140625" style="31"/>
  </cols>
  <sheetData>
    <row r="1" spans="1:15">
      <c r="D1" s="31"/>
      <c r="E1" s="31"/>
      <c r="F1" s="31"/>
      <c r="G1" s="31"/>
      <c r="H1" s="31"/>
      <c r="I1" s="339" t="s">
        <v>186</v>
      </c>
      <c r="J1" s="339"/>
    </row>
    <row r="2" spans="1:15" ht="18.75">
      <c r="A2" s="340" t="s">
        <v>187</v>
      </c>
      <c r="B2" s="340"/>
      <c r="C2" s="340"/>
      <c r="D2" s="340"/>
      <c r="E2" s="340"/>
      <c r="F2" s="340"/>
      <c r="G2" s="340"/>
      <c r="H2" s="340"/>
      <c r="I2" s="340"/>
      <c r="J2" s="340"/>
    </row>
    <row r="3" spans="1:15" ht="40.5" customHeight="1">
      <c r="A3" s="341" t="s">
        <v>188</v>
      </c>
      <c r="B3" s="341"/>
      <c r="C3" s="341"/>
      <c r="D3" s="341"/>
      <c r="E3" s="341"/>
      <c r="F3" s="341"/>
      <c r="G3" s="341"/>
      <c r="H3" s="341"/>
      <c r="I3" s="341"/>
      <c r="J3" s="341"/>
    </row>
    <row r="4" spans="1:15" ht="15.75">
      <c r="C4" s="32"/>
      <c r="D4" s="33"/>
      <c r="E4" s="34"/>
      <c r="F4" s="35"/>
      <c r="G4" s="35"/>
      <c r="I4" s="33"/>
      <c r="J4" s="36" t="s">
        <v>189</v>
      </c>
    </row>
    <row r="5" spans="1:15" ht="20.25" customHeight="1">
      <c r="A5" s="342" t="s">
        <v>190</v>
      </c>
      <c r="B5" s="342" t="s">
        <v>191</v>
      </c>
      <c r="C5" s="337" t="s">
        <v>34</v>
      </c>
      <c r="D5" s="346" t="s">
        <v>192</v>
      </c>
      <c r="E5" s="347"/>
      <c r="F5" s="347"/>
      <c r="G5" s="347"/>
      <c r="H5" s="347"/>
      <c r="I5" s="348"/>
      <c r="J5" s="349" t="s">
        <v>193</v>
      </c>
    </row>
    <row r="6" spans="1:15" s="37" customFormat="1" ht="15.75" customHeight="1">
      <c r="A6" s="343"/>
      <c r="B6" s="343"/>
      <c r="C6" s="345"/>
      <c r="D6" s="337" t="s">
        <v>6</v>
      </c>
      <c r="E6" s="337" t="s">
        <v>7</v>
      </c>
      <c r="F6" s="337" t="s">
        <v>176</v>
      </c>
      <c r="G6" s="337" t="s">
        <v>194</v>
      </c>
      <c r="H6" s="337" t="s">
        <v>195</v>
      </c>
      <c r="I6" s="337" t="s">
        <v>196</v>
      </c>
      <c r="J6" s="350"/>
    </row>
    <row r="7" spans="1:15" s="37" customFormat="1" ht="15.75">
      <c r="A7" s="344"/>
      <c r="B7" s="344"/>
      <c r="C7" s="338"/>
      <c r="D7" s="338"/>
      <c r="E7" s="338"/>
      <c r="F7" s="338"/>
      <c r="G7" s="338"/>
      <c r="H7" s="338"/>
      <c r="I7" s="338"/>
      <c r="J7" s="351"/>
    </row>
    <row r="8" spans="1:15" s="39" customFormat="1" ht="12.7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 t="s">
        <v>197</v>
      </c>
      <c r="J8" s="38">
        <v>10</v>
      </c>
    </row>
    <row r="9" spans="1:15" s="34" customFormat="1" ht="15.75">
      <c r="A9" s="40"/>
      <c r="B9" s="41" t="s">
        <v>198</v>
      </c>
      <c r="C9" s="42">
        <f t="shared" ref="C9:H9" si="0">C10+C30</f>
        <v>10000000</v>
      </c>
      <c r="D9" s="42">
        <f t="shared" si="0"/>
        <v>10500000</v>
      </c>
      <c r="E9" s="42">
        <f t="shared" si="0"/>
        <v>11245800</v>
      </c>
      <c r="F9" s="42">
        <f t="shared" si="0"/>
        <v>12371000</v>
      </c>
      <c r="G9" s="42">
        <f t="shared" si="0"/>
        <v>13937000</v>
      </c>
      <c r="H9" s="42">
        <f t="shared" si="0"/>
        <v>16144000</v>
      </c>
      <c r="I9" s="42">
        <f>D9+E9+F9+G9+H9</f>
        <v>64197800</v>
      </c>
      <c r="J9" s="43">
        <f>((H9/C9)^(1/5)*100-100)/100</f>
        <v>0.10053087181204617</v>
      </c>
      <c r="K9" s="43">
        <f>E9/D9</f>
        <v>1.0710285714285714</v>
      </c>
      <c r="L9" s="43">
        <f>E9/D9</f>
        <v>1.0710285714285714</v>
      </c>
      <c r="M9" s="43">
        <f>F9/E9</f>
        <v>1.10005513169361</v>
      </c>
      <c r="N9" s="43">
        <f>G9/F9</f>
        <v>1.1265863713523563</v>
      </c>
      <c r="O9" s="43">
        <f>H9/G9</f>
        <v>1.1583554566979981</v>
      </c>
    </row>
    <row r="10" spans="1:15" s="34" customFormat="1" ht="15.75">
      <c r="A10" s="18" t="s">
        <v>9</v>
      </c>
      <c r="B10" s="44" t="s">
        <v>109</v>
      </c>
      <c r="C10" s="45">
        <f t="shared" ref="C10:H10" si="1">C12+C15+C16+C17+C18+C19+C20+C21+C22+C24+C25+C26+C27+C28+C29</f>
        <v>9250000</v>
      </c>
      <c r="D10" s="45">
        <f t="shared" si="1"/>
        <v>9500000</v>
      </c>
      <c r="E10" s="45">
        <f t="shared" si="1"/>
        <v>10205800</v>
      </c>
      <c r="F10" s="45">
        <f t="shared" si="1"/>
        <v>11291000</v>
      </c>
      <c r="G10" s="45">
        <f t="shared" si="1"/>
        <v>12807000</v>
      </c>
      <c r="H10" s="45">
        <f t="shared" si="1"/>
        <v>14974000</v>
      </c>
      <c r="I10" s="45">
        <f>D10+E10+F10+G10+H10</f>
        <v>58777800</v>
      </c>
      <c r="J10" s="46">
        <f>((H10/C10)^(1/5)*100-100)/100</f>
        <v>0.1011315825548455</v>
      </c>
      <c r="K10" s="47"/>
      <c r="L10" s="35"/>
    </row>
    <row r="11" spans="1:15" s="51" customFormat="1" ht="31.5">
      <c r="A11" s="48"/>
      <c r="B11" s="20" t="s">
        <v>199</v>
      </c>
      <c r="C11" s="49">
        <f t="shared" ref="C11:I11" si="2">C10-C21-C28</f>
        <v>7142000</v>
      </c>
      <c r="D11" s="49">
        <f t="shared" si="2"/>
        <v>6930400</v>
      </c>
      <c r="E11" s="49">
        <f t="shared" si="2"/>
        <v>8015800</v>
      </c>
      <c r="F11" s="49">
        <f t="shared" si="2"/>
        <v>9051000</v>
      </c>
      <c r="G11" s="49">
        <f t="shared" si="2"/>
        <v>10377000</v>
      </c>
      <c r="H11" s="49">
        <f t="shared" si="2"/>
        <v>12324000</v>
      </c>
      <c r="I11" s="49">
        <f t="shared" si="2"/>
        <v>46698200</v>
      </c>
      <c r="J11" s="50">
        <f>((H11/C11)^(1/5)*100-100)/100</f>
        <v>0.11528630341278827</v>
      </c>
      <c r="K11" s="47"/>
    </row>
    <row r="12" spans="1:15" s="53" customFormat="1" ht="19.5" customHeight="1">
      <c r="A12" s="17">
        <v>1</v>
      </c>
      <c r="B12" s="17" t="s">
        <v>11</v>
      </c>
      <c r="C12" s="47">
        <f t="shared" ref="C12:H12" si="3">C13+C14</f>
        <v>531000</v>
      </c>
      <c r="D12" s="47">
        <f t="shared" si="3"/>
        <v>410000</v>
      </c>
      <c r="E12" s="47">
        <f t="shared" si="3"/>
        <v>497000</v>
      </c>
      <c r="F12" s="47">
        <f t="shared" si="3"/>
        <v>555000</v>
      </c>
      <c r="G12" s="47">
        <f t="shared" si="3"/>
        <v>615000</v>
      </c>
      <c r="H12" s="47">
        <f t="shared" si="3"/>
        <v>675000</v>
      </c>
      <c r="I12" s="47">
        <f t="shared" ref="I12:I29" si="4">D12+E12+F12+G12+H12</f>
        <v>2752000</v>
      </c>
      <c r="J12" s="52">
        <f t="shared" ref="J12:J30" si="5">((H12/C12)^(1/5)*100-100)/100</f>
        <v>4.9160304180333014E-2</v>
      </c>
      <c r="K12" s="47"/>
    </row>
    <row r="13" spans="1:15" s="57" customFormat="1" ht="19.5" customHeight="1">
      <c r="A13" s="54" t="s">
        <v>12</v>
      </c>
      <c r="B13" s="27" t="s">
        <v>110</v>
      </c>
      <c r="C13" s="55">
        <v>424000</v>
      </c>
      <c r="D13" s="55">
        <v>340000</v>
      </c>
      <c r="E13" s="55">
        <v>420000</v>
      </c>
      <c r="F13" s="55">
        <v>470000</v>
      </c>
      <c r="G13" s="55">
        <v>520000</v>
      </c>
      <c r="H13" s="55">
        <v>570000</v>
      </c>
      <c r="I13" s="55">
        <f>D13+E13+F13+G13+H13</f>
        <v>2320000</v>
      </c>
      <c r="J13" s="56">
        <f t="shared" si="5"/>
        <v>6.0966814017224633E-2</v>
      </c>
      <c r="K13" s="47"/>
    </row>
    <row r="14" spans="1:15" s="57" customFormat="1" ht="19.5" customHeight="1">
      <c r="A14" s="54" t="s">
        <v>13</v>
      </c>
      <c r="B14" s="27" t="s">
        <v>111</v>
      </c>
      <c r="C14" s="55">
        <v>107000</v>
      </c>
      <c r="D14" s="55">
        <v>70000</v>
      </c>
      <c r="E14" s="55">
        <v>77000</v>
      </c>
      <c r="F14" s="55">
        <v>85000</v>
      </c>
      <c r="G14" s="55">
        <v>95000</v>
      </c>
      <c r="H14" s="55">
        <v>105000</v>
      </c>
      <c r="I14" s="55">
        <f t="shared" si="4"/>
        <v>432000</v>
      </c>
      <c r="J14" s="56">
        <f t="shared" si="5"/>
        <v>-3.7665854151701693E-3</v>
      </c>
      <c r="K14" s="47"/>
    </row>
    <row r="15" spans="1:15" s="53" customFormat="1" ht="19.5" customHeight="1">
      <c r="A15" s="17">
        <v>2</v>
      </c>
      <c r="B15" s="17" t="s">
        <v>112</v>
      </c>
      <c r="C15" s="47">
        <v>851000</v>
      </c>
      <c r="D15" s="47">
        <v>1100000</v>
      </c>
      <c r="E15" s="47">
        <v>1225000</v>
      </c>
      <c r="F15" s="47">
        <v>1375000</v>
      </c>
      <c r="G15" s="47">
        <v>1570000</v>
      </c>
      <c r="H15" s="47">
        <v>1855000</v>
      </c>
      <c r="I15" s="47">
        <f>D15+E15+F15+G15+H15</f>
        <v>7125000</v>
      </c>
      <c r="J15" s="52">
        <f t="shared" si="5"/>
        <v>0.16864571437056369</v>
      </c>
      <c r="K15" s="47"/>
    </row>
    <row r="16" spans="1:15" s="53" customFormat="1" ht="19.5" customHeight="1">
      <c r="A16" s="17">
        <v>3</v>
      </c>
      <c r="B16" s="17" t="s">
        <v>113</v>
      </c>
      <c r="C16" s="47">
        <v>1850000</v>
      </c>
      <c r="D16" s="47">
        <v>1700000</v>
      </c>
      <c r="E16" s="47">
        <v>1920000</v>
      </c>
      <c r="F16" s="47">
        <v>2150000</v>
      </c>
      <c r="G16" s="47">
        <v>2400000</v>
      </c>
      <c r="H16" s="47">
        <v>2700000</v>
      </c>
      <c r="I16" s="47">
        <f t="shared" si="4"/>
        <v>10870000</v>
      </c>
      <c r="J16" s="52">
        <f t="shared" si="5"/>
        <v>7.8545341025045581E-2</v>
      </c>
      <c r="K16" s="47"/>
    </row>
    <row r="17" spans="1:11" s="53" customFormat="1" ht="19.5" customHeight="1">
      <c r="A17" s="17">
        <v>4</v>
      </c>
      <c r="B17" s="17" t="s">
        <v>14</v>
      </c>
      <c r="C17" s="47">
        <v>440000</v>
      </c>
      <c r="D17" s="47">
        <v>420000</v>
      </c>
      <c r="E17" s="47">
        <v>520000</v>
      </c>
      <c r="F17" s="47">
        <v>600000</v>
      </c>
      <c r="G17" s="47">
        <v>680000</v>
      </c>
      <c r="H17" s="47">
        <v>770000</v>
      </c>
      <c r="I17" s="47">
        <f t="shared" si="4"/>
        <v>2990000</v>
      </c>
      <c r="J17" s="52">
        <f t="shared" si="5"/>
        <v>0.11842691472014465</v>
      </c>
      <c r="K17" s="47"/>
    </row>
    <row r="18" spans="1:11" s="53" customFormat="1" ht="19.5" customHeight="1">
      <c r="A18" s="17">
        <v>6</v>
      </c>
      <c r="B18" s="17" t="s">
        <v>15</v>
      </c>
      <c r="C18" s="47">
        <v>13000</v>
      </c>
      <c r="D18" s="47">
        <v>11000</v>
      </c>
      <c r="E18" s="47">
        <v>12000</v>
      </c>
      <c r="F18" s="47">
        <v>14000</v>
      </c>
      <c r="G18" s="47">
        <v>16000</v>
      </c>
      <c r="H18" s="47">
        <v>20000</v>
      </c>
      <c r="I18" s="47">
        <f t="shared" si="4"/>
        <v>73000</v>
      </c>
      <c r="J18" s="52">
        <f t="shared" si="5"/>
        <v>8.9976987048345336E-2</v>
      </c>
      <c r="K18" s="47"/>
    </row>
    <row r="19" spans="1:11" s="53" customFormat="1" ht="19.5" customHeight="1">
      <c r="A19" s="17">
        <v>7</v>
      </c>
      <c r="B19" s="17" t="s">
        <v>17</v>
      </c>
      <c r="C19" s="47">
        <v>900000</v>
      </c>
      <c r="D19" s="47">
        <v>850000</v>
      </c>
      <c r="E19" s="47">
        <v>950000</v>
      </c>
      <c r="F19" s="47">
        <v>1100000</v>
      </c>
      <c r="G19" s="47">
        <v>1320000</v>
      </c>
      <c r="H19" s="47">
        <v>1610000</v>
      </c>
      <c r="I19" s="47">
        <f t="shared" si="4"/>
        <v>5830000</v>
      </c>
      <c r="J19" s="52">
        <f t="shared" si="5"/>
        <v>0.12335409635883934</v>
      </c>
      <c r="K19" s="47"/>
    </row>
    <row r="20" spans="1:11" s="53" customFormat="1" ht="19.5" customHeight="1">
      <c r="A20" s="17">
        <v>8</v>
      </c>
      <c r="B20" s="17" t="s">
        <v>18</v>
      </c>
      <c r="C20" s="47">
        <v>570000</v>
      </c>
      <c r="D20" s="47">
        <v>522000</v>
      </c>
      <c r="E20" s="47">
        <v>600000</v>
      </c>
      <c r="F20" s="47">
        <v>680000</v>
      </c>
      <c r="G20" s="47">
        <v>800000</v>
      </c>
      <c r="H20" s="47">
        <v>920000</v>
      </c>
      <c r="I20" s="47">
        <f t="shared" si="4"/>
        <v>3522000</v>
      </c>
      <c r="J20" s="52">
        <f t="shared" si="5"/>
        <v>0.10048111542633123</v>
      </c>
      <c r="K20" s="47"/>
    </row>
    <row r="21" spans="1:11" s="53" customFormat="1" ht="19.5" customHeight="1">
      <c r="A21" s="17">
        <v>9</v>
      </c>
      <c r="B21" s="17" t="s">
        <v>19</v>
      </c>
      <c r="C21" s="47">
        <v>408000</v>
      </c>
      <c r="D21" s="47">
        <f>1162000-295000-7400</f>
        <v>859600</v>
      </c>
      <c r="E21" s="47">
        <v>470000</v>
      </c>
      <c r="F21" s="47">
        <v>500000</v>
      </c>
      <c r="G21" s="47">
        <v>600000</v>
      </c>
      <c r="H21" s="47">
        <f>700000+50000</f>
        <v>750000</v>
      </c>
      <c r="I21" s="47">
        <f t="shared" si="4"/>
        <v>3179600</v>
      </c>
      <c r="J21" s="52">
        <f t="shared" si="5"/>
        <v>0.12948435596781876</v>
      </c>
      <c r="K21" s="47"/>
    </row>
    <row r="22" spans="1:11" s="53" customFormat="1" ht="19.5" customHeight="1">
      <c r="A22" s="17">
        <v>10</v>
      </c>
      <c r="B22" s="17" t="s">
        <v>114</v>
      </c>
      <c r="C22" s="47">
        <v>1019000</v>
      </c>
      <c r="D22" s="47">
        <f>1035000+7400</f>
        <v>1042400</v>
      </c>
      <c r="E22" s="47">
        <v>1240000</v>
      </c>
      <c r="F22" s="47">
        <v>1420000</v>
      </c>
      <c r="G22" s="47">
        <v>1690000</v>
      </c>
      <c r="H22" s="47">
        <v>2335000</v>
      </c>
      <c r="I22" s="47">
        <f t="shared" si="4"/>
        <v>7727400</v>
      </c>
      <c r="J22" s="52">
        <f t="shared" si="5"/>
        <v>0.18038189668563945</v>
      </c>
      <c r="K22" s="47"/>
    </row>
    <row r="23" spans="1:11" s="61" customFormat="1" ht="19.5" customHeight="1">
      <c r="A23" s="28"/>
      <c r="B23" s="58" t="s">
        <v>200</v>
      </c>
      <c r="C23" s="59"/>
      <c r="D23" s="59">
        <f>258000+7400</f>
        <v>265400</v>
      </c>
      <c r="E23" s="59">
        <v>66000</v>
      </c>
      <c r="F23" s="59"/>
      <c r="G23" s="59"/>
      <c r="H23" s="59"/>
      <c r="I23" s="59"/>
      <c r="J23" s="60"/>
      <c r="K23" s="59"/>
    </row>
    <row r="24" spans="1:11" s="53" customFormat="1" ht="19.5" customHeight="1">
      <c r="A24" s="17">
        <v>11</v>
      </c>
      <c r="B24" s="17" t="s">
        <v>115</v>
      </c>
      <c r="C24" s="47">
        <v>261000</v>
      </c>
      <c r="D24" s="47">
        <v>200000</v>
      </c>
      <c r="E24" s="47">
        <v>298000</v>
      </c>
      <c r="F24" s="47">
        <v>320000</v>
      </c>
      <c r="G24" s="47">
        <v>360000</v>
      </c>
      <c r="H24" s="47">
        <v>424000</v>
      </c>
      <c r="I24" s="47">
        <f t="shared" si="4"/>
        <v>1602000</v>
      </c>
      <c r="J24" s="52">
        <f t="shared" si="5"/>
        <v>0.10190732443106086</v>
      </c>
      <c r="K24" s="47"/>
    </row>
    <row r="25" spans="1:11" s="53" customFormat="1" ht="19.5" customHeight="1">
      <c r="A25" s="17">
        <v>12</v>
      </c>
      <c r="B25" s="62" t="s">
        <v>116</v>
      </c>
      <c r="C25" s="47">
        <v>30000</v>
      </c>
      <c r="D25" s="47">
        <v>27000</v>
      </c>
      <c r="E25" s="47">
        <v>35000</v>
      </c>
      <c r="F25" s="47">
        <v>37000</v>
      </c>
      <c r="G25" s="47">
        <v>40000</v>
      </c>
      <c r="H25" s="47">
        <v>45000</v>
      </c>
      <c r="I25" s="47">
        <f t="shared" si="4"/>
        <v>184000</v>
      </c>
      <c r="J25" s="52">
        <f t="shared" si="5"/>
        <v>8.4471771197698609E-2</v>
      </c>
      <c r="K25" s="47"/>
    </row>
    <row r="26" spans="1:11" s="53" customFormat="1" ht="19.5" customHeight="1">
      <c r="A26" s="17">
        <v>13</v>
      </c>
      <c r="B26" s="17" t="s">
        <v>117</v>
      </c>
      <c r="C26" s="47">
        <v>670000</v>
      </c>
      <c r="D26" s="47">
        <v>645000</v>
      </c>
      <c r="E26" s="47">
        <v>715000</v>
      </c>
      <c r="F26" s="47">
        <v>795000</v>
      </c>
      <c r="G26" s="47">
        <v>880000</v>
      </c>
      <c r="H26" s="47">
        <v>960000</v>
      </c>
      <c r="I26" s="47">
        <f t="shared" si="4"/>
        <v>3995000</v>
      </c>
      <c r="J26" s="52">
        <f t="shared" si="5"/>
        <v>7.4581318351847725E-2</v>
      </c>
      <c r="K26" s="47"/>
    </row>
    <row r="27" spans="1:11" s="37" customFormat="1" ht="19.5" customHeight="1">
      <c r="A27" s="17">
        <v>14</v>
      </c>
      <c r="B27" s="62" t="s">
        <v>118</v>
      </c>
      <c r="C27" s="47">
        <v>5000</v>
      </c>
      <c r="D27" s="47">
        <v>1000</v>
      </c>
      <c r="E27" s="47">
        <v>1000</v>
      </c>
      <c r="F27" s="47">
        <v>1000</v>
      </c>
      <c r="G27" s="47">
        <v>1000</v>
      </c>
      <c r="H27" s="63">
        <v>2000</v>
      </c>
      <c r="I27" s="63">
        <f t="shared" si="4"/>
        <v>6000</v>
      </c>
      <c r="J27" s="52">
        <f t="shared" si="5"/>
        <v>-0.16744679259812684</v>
      </c>
      <c r="K27" s="47"/>
    </row>
    <row r="28" spans="1:11" s="37" customFormat="1" ht="19.5" customHeight="1">
      <c r="A28" s="17">
        <v>15</v>
      </c>
      <c r="B28" s="17" t="s">
        <v>20</v>
      </c>
      <c r="C28" s="47">
        <v>1700000</v>
      </c>
      <c r="D28" s="47">
        <v>1710000</v>
      </c>
      <c r="E28" s="47">
        <v>1720000</v>
      </c>
      <c r="F28" s="47">
        <v>1740000</v>
      </c>
      <c r="G28" s="47">
        <v>1830000</v>
      </c>
      <c r="H28" s="63">
        <v>1900000</v>
      </c>
      <c r="I28" s="63">
        <f>D28+E28+F28+G28+H28</f>
        <v>8900000</v>
      </c>
      <c r="J28" s="52">
        <f>((H28/C28)^(1/5)*100-100)/100</f>
        <v>2.2494394759551568E-2</v>
      </c>
      <c r="K28" s="47"/>
    </row>
    <row r="29" spans="1:11" s="37" customFormat="1" ht="19.5" customHeight="1">
      <c r="A29" s="17">
        <v>16</v>
      </c>
      <c r="B29" s="17" t="s">
        <v>119</v>
      </c>
      <c r="C29" s="47">
        <v>2000</v>
      </c>
      <c r="D29" s="47">
        <v>2000</v>
      </c>
      <c r="E29" s="47">
        <v>2800</v>
      </c>
      <c r="F29" s="47">
        <v>4000</v>
      </c>
      <c r="G29" s="47">
        <v>5000</v>
      </c>
      <c r="H29" s="47">
        <v>8000</v>
      </c>
      <c r="I29" s="63">
        <f t="shared" si="4"/>
        <v>21800</v>
      </c>
      <c r="J29" s="52">
        <f t="shared" si="5"/>
        <v>0.31950791077289409</v>
      </c>
      <c r="K29" s="47"/>
    </row>
    <row r="30" spans="1:11" s="68" customFormat="1" ht="19.5" customHeight="1">
      <c r="A30" s="64" t="s">
        <v>21</v>
      </c>
      <c r="B30" s="65" t="s">
        <v>120</v>
      </c>
      <c r="C30" s="66">
        <v>750000</v>
      </c>
      <c r="D30" s="66">
        <v>1000000</v>
      </c>
      <c r="E30" s="66">
        <v>1040000</v>
      </c>
      <c r="F30" s="66">
        <v>1080000</v>
      </c>
      <c r="G30" s="66">
        <v>1130000</v>
      </c>
      <c r="H30" s="66">
        <v>1170000</v>
      </c>
      <c r="I30" s="66">
        <f>D30+E30+F30+G30+H30</f>
        <v>5420000</v>
      </c>
      <c r="J30" s="67">
        <f t="shared" si="5"/>
        <v>9.301197394385867E-2</v>
      </c>
      <c r="K30" s="47"/>
    </row>
    <row r="31" spans="1:11" ht="15.75">
      <c r="D31" s="69"/>
      <c r="E31" s="69"/>
      <c r="F31" s="69"/>
      <c r="G31" s="69"/>
      <c r="H31" s="69"/>
    </row>
    <row r="32" spans="1:11" ht="15.75">
      <c r="D32" s="69"/>
      <c r="E32" s="53"/>
      <c r="F32" s="53"/>
      <c r="G32" s="53"/>
    </row>
    <row r="33" spans="2:10">
      <c r="B33" s="31" t="s">
        <v>201</v>
      </c>
      <c r="C33" s="32">
        <v>115000</v>
      </c>
      <c r="D33" s="32">
        <v>115000</v>
      </c>
      <c r="E33" s="32">
        <v>133000</v>
      </c>
      <c r="F33" s="32">
        <v>146000</v>
      </c>
      <c r="G33" s="32">
        <v>164000</v>
      </c>
      <c r="H33" s="32">
        <v>191000</v>
      </c>
      <c r="I33" s="32">
        <f>D33+E33+F33+G33+H33</f>
        <v>749000</v>
      </c>
    </row>
    <row r="34" spans="2:10">
      <c r="B34" s="31" t="s">
        <v>202</v>
      </c>
      <c r="C34" s="32">
        <v>421000</v>
      </c>
      <c r="D34" s="32">
        <v>439890.00000000006</v>
      </c>
      <c r="E34" s="32">
        <v>464720</v>
      </c>
      <c r="F34" s="32">
        <v>486700</v>
      </c>
      <c r="G34" s="32">
        <v>511820</v>
      </c>
      <c r="H34" s="32">
        <v>728480</v>
      </c>
      <c r="I34" s="32">
        <f>D34+E34+F34+G34+H34</f>
        <v>2631610</v>
      </c>
    </row>
    <row r="35" spans="2:10">
      <c r="B35" s="31" t="s">
        <v>203</v>
      </c>
      <c r="C35" s="32">
        <v>65000</v>
      </c>
      <c r="D35" s="32">
        <v>50427</v>
      </c>
      <c r="E35" s="32">
        <v>76000</v>
      </c>
      <c r="F35" s="32">
        <v>82000</v>
      </c>
      <c r="G35" s="32">
        <v>90000</v>
      </c>
      <c r="H35" s="32">
        <v>98000</v>
      </c>
      <c r="I35" s="32">
        <f>D35+E35+F35+G35+H35</f>
        <v>396427</v>
      </c>
    </row>
    <row r="36" spans="2:10" ht="15.75">
      <c r="B36" s="31" t="s">
        <v>204</v>
      </c>
      <c r="C36" s="32">
        <f>C33+C34+C35+(5500*0.7)</f>
        <v>604850</v>
      </c>
      <c r="D36" s="69">
        <f t="shared" ref="D36:I36" si="6">D33+D34+D35</f>
        <v>605317</v>
      </c>
      <c r="E36" s="53">
        <f t="shared" si="6"/>
        <v>673720</v>
      </c>
      <c r="F36" s="53">
        <f t="shared" si="6"/>
        <v>714700</v>
      </c>
      <c r="G36" s="53">
        <f t="shared" si="6"/>
        <v>765820</v>
      </c>
      <c r="H36" s="32">
        <f t="shared" si="6"/>
        <v>1017480</v>
      </c>
      <c r="I36" s="32">
        <f t="shared" si="6"/>
        <v>3777037</v>
      </c>
    </row>
    <row r="37" spans="2:10" s="71" customFormat="1" ht="14.25">
      <c r="B37" s="71" t="s">
        <v>205</v>
      </c>
      <c r="C37" s="72">
        <f t="shared" ref="C37:I37" si="7">C10-C36</f>
        <v>8645150</v>
      </c>
      <c r="D37" s="72">
        <f>D10-D36-295014</f>
        <v>8599669</v>
      </c>
      <c r="E37" s="72">
        <f t="shared" si="7"/>
        <v>9532080</v>
      </c>
      <c r="F37" s="72">
        <f t="shared" si="7"/>
        <v>10576300</v>
      </c>
      <c r="G37" s="72">
        <f t="shared" si="7"/>
        <v>12041180</v>
      </c>
      <c r="H37" s="72">
        <f t="shared" si="7"/>
        <v>13956520</v>
      </c>
      <c r="I37" s="72">
        <f t="shared" si="7"/>
        <v>55000763</v>
      </c>
      <c r="J37" s="73"/>
    </row>
    <row r="38" spans="2:10" ht="15.75">
      <c r="D38" s="53"/>
      <c r="E38" s="53"/>
      <c r="F38" s="53"/>
      <c r="G38" s="53"/>
    </row>
    <row r="39" spans="2:10">
      <c r="B39" s="31" t="s">
        <v>206</v>
      </c>
      <c r="C39" s="32">
        <f t="shared" ref="C39:I39" si="8">C28+C21</f>
        <v>2108000</v>
      </c>
      <c r="D39" s="32">
        <f t="shared" si="8"/>
        <v>2569600</v>
      </c>
      <c r="E39" s="32">
        <f t="shared" si="8"/>
        <v>2190000</v>
      </c>
      <c r="F39" s="32">
        <f t="shared" si="8"/>
        <v>2240000</v>
      </c>
      <c r="G39" s="32">
        <f t="shared" si="8"/>
        <v>2430000</v>
      </c>
      <c r="H39" s="32">
        <f t="shared" si="8"/>
        <v>2650000</v>
      </c>
      <c r="I39" s="32">
        <f t="shared" si="8"/>
        <v>12079600</v>
      </c>
    </row>
    <row r="40" spans="2:10" ht="15.75">
      <c r="D40" s="69"/>
      <c r="E40" s="53"/>
      <c r="F40" s="53"/>
      <c r="G40" s="53"/>
    </row>
    <row r="41" spans="2:10" ht="15.75">
      <c r="D41" s="53"/>
      <c r="E41" s="53"/>
      <c r="F41" s="53"/>
      <c r="G41" s="53"/>
    </row>
    <row r="42" spans="2:10" ht="15.75">
      <c r="D42" s="69"/>
      <c r="E42" s="53"/>
      <c r="F42" s="53"/>
      <c r="G42" s="53"/>
    </row>
    <row r="43" spans="2:10" ht="15.75">
      <c r="D43" s="53"/>
      <c r="E43" s="53"/>
      <c r="F43" s="53"/>
      <c r="G43" s="53"/>
    </row>
    <row r="44" spans="2:10" ht="15.75">
      <c r="D44" s="53"/>
      <c r="E44" s="53"/>
      <c r="F44" s="53"/>
      <c r="G44" s="53"/>
    </row>
    <row r="45" spans="2:10" ht="15.75">
      <c r="D45" s="53"/>
      <c r="E45" s="53"/>
      <c r="F45" s="53"/>
      <c r="G45" s="53"/>
    </row>
    <row r="46" spans="2:10" ht="15.75">
      <c r="D46" s="53"/>
      <c r="E46" s="53"/>
      <c r="F46" s="53"/>
      <c r="G46" s="53"/>
    </row>
    <row r="47" spans="2:10" ht="15.75">
      <c r="D47" s="53"/>
      <c r="E47" s="53"/>
      <c r="F47" s="53"/>
      <c r="G47" s="53"/>
    </row>
    <row r="48" spans="2:10" ht="15.75">
      <c r="D48" s="53"/>
      <c r="E48" s="53"/>
      <c r="F48" s="53"/>
      <c r="G48" s="53"/>
    </row>
    <row r="49" spans="4:7" ht="15.75">
      <c r="D49" s="53"/>
      <c r="E49" s="53"/>
      <c r="F49" s="53"/>
      <c r="G49" s="53"/>
    </row>
    <row r="50" spans="4:7" ht="15.75">
      <c r="D50" s="53"/>
      <c r="E50" s="53"/>
      <c r="F50" s="53"/>
      <c r="G50" s="53"/>
    </row>
    <row r="51" spans="4:7" ht="15.75">
      <c r="D51" s="53"/>
      <c r="E51" s="53"/>
      <c r="F51" s="53"/>
      <c r="G51" s="53"/>
    </row>
    <row r="52" spans="4:7" ht="15.75">
      <c r="D52" s="53"/>
      <c r="E52" s="53"/>
      <c r="F52" s="53"/>
      <c r="G52" s="53"/>
    </row>
    <row r="53" spans="4:7" ht="15.75">
      <c r="D53" s="53"/>
      <c r="E53" s="53"/>
      <c r="F53" s="53"/>
      <c r="G53" s="53"/>
    </row>
    <row r="54" spans="4:7" ht="15.75">
      <c r="D54" s="53"/>
      <c r="E54" s="53"/>
      <c r="F54" s="53"/>
      <c r="G54" s="53"/>
    </row>
    <row r="55" spans="4:7" ht="15.75">
      <c r="D55" s="53"/>
      <c r="E55" s="53"/>
      <c r="F55" s="53"/>
      <c r="G55" s="53"/>
    </row>
    <row r="56" spans="4:7" ht="15.75">
      <c r="D56" s="53"/>
      <c r="E56" s="53"/>
      <c r="F56" s="53"/>
      <c r="G56" s="53"/>
    </row>
    <row r="57" spans="4:7" ht="15.75">
      <c r="D57" s="53"/>
      <c r="E57" s="53"/>
      <c r="F57" s="53"/>
      <c r="G57" s="53"/>
    </row>
    <row r="58" spans="4:7" ht="15.75">
      <c r="D58" s="53"/>
      <c r="E58" s="53"/>
      <c r="F58" s="53"/>
      <c r="G58" s="53"/>
    </row>
  </sheetData>
  <mergeCells count="14">
    <mergeCell ref="F6:F7"/>
    <mergeCell ref="G6:G7"/>
    <mergeCell ref="H6:H7"/>
    <mergeCell ref="I6:I7"/>
    <mergeCell ref="I1:J1"/>
    <mergeCell ref="A2:J2"/>
    <mergeCell ref="A3:J3"/>
    <mergeCell ref="A5:A7"/>
    <mergeCell ref="B5:B7"/>
    <mergeCell ref="C5:C7"/>
    <mergeCell ref="D5:I5"/>
    <mergeCell ref="J5:J7"/>
    <mergeCell ref="D6:D7"/>
    <mergeCell ref="E6:E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01</vt:lpstr>
      <vt:lpstr>02</vt:lpstr>
      <vt:lpstr>03</vt:lpstr>
      <vt:lpstr>04</vt:lpstr>
      <vt:lpstr>Sheet1</vt:lpstr>
      <vt:lpstr>'01'!Print_Area</vt:lpstr>
      <vt:lpstr>'02'!Print_Area</vt:lpstr>
      <vt:lpstr>'03'!Print_Area</vt:lpstr>
      <vt:lpstr>'04'!Print_Area</vt:lpstr>
      <vt:lpstr>'01'!Print_Titles</vt:lpstr>
      <vt:lpstr>'02'!Print_Titles</vt:lpstr>
      <vt:lpstr>'03'!Print_Titles</vt:lpstr>
      <vt:lpstr>'04'!Print_Titles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Đàm Văn Cường</cp:lastModifiedBy>
  <cp:lastPrinted>2020-11-23T11:11:55Z</cp:lastPrinted>
  <dcterms:created xsi:type="dcterms:W3CDTF">2019-10-19T09:37:56Z</dcterms:created>
  <dcterms:modified xsi:type="dcterms:W3CDTF">2020-11-23T11:26:01Z</dcterms:modified>
</cp:coreProperties>
</file>